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  <Override PartName="/xl/embeddings/oleObject_4_4.bin" ContentType="application/vnd.openxmlformats-officedocument.oleObject"/>
  <Override PartName="/xl/embeddings/oleObject_4_5.bin" ContentType="application/vnd.openxmlformats-officedocument.oleObject"/>
  <Override PartName="/xl/embeddings/oleObject_4_6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5865" windowHeight="3390" activeTab="2"/>
  </bookViews>
  <sheets>
    <sheet name="Návod" sheetId="1" r:id="rId1"/>
    <sheet name="Úvodní" sheetId="2" r:id="rId2"/>
    <sheet name="Vstup" sheetId="3" r:id="rId3"/>
    <sheet name="Výstup" sheetId="4" r:id="rId4"/>
    <sheet name="Doplňující" sheetId="5" r:id="rId5"/>
    <sheet name="Pom_Sazba" sheetId="6" r:id="rId6"/>
    <sheet name="Nastavení" sheetId="7" state="hidden" r:id="rId7"/>
    <sheet name="pom_grafy" sheetId="8" state="hidden" r:id="rId8"/>
    <sheet name="pomocné" sheetId="9" state="hidden" r:id="rId9"/>
    <sheet name="Číselníky" sheetId="10" state="hidden" r:id="rId10"/>
  </sheets>
  <definedNames/>
  <calcPr fullCalcOnLoad="1" iterate="1" iterateCount="1" iterateDelta="0.001"/>
</workbook>
</file>

<file path=xl/comments10.xml><?xml version="1.0" encoding="utf-8"?>
<comments xmlns="http://schemas.openxmlformats.org/spreadsheetml/2006/main">
  <authors>
    <author>Spokojený uživatel aplikací MS Office</author>
  </authors>
  <commentList>
    <comment ref="D1" authorId="0">
      <text>
        <r>
          <rPr>
            <sz val="8"/>
            <rFont val="Tahoma"/>
            <family val="0"/>
          </rPr>
          <t>Petr Syrový:
Splatnost úvěru (v letech)</t>
        </r>
      </text>
    </comment>
    <comment ref="D2" authorId="0">
      <text>
        <r>
          <rPr>
            <sz val="8"/>
            <rFont val="Tahoma"/>
            <family val="0"/>
          </rPr>
          <t>Petr Syrový:
Výběr z číselníku, nikoli splatnost jako taková</t>
        </r>
      </text>
    </comment>
  </commentList>
</comments>
</file>

<file path=xl/comments4.xml><?xml version="1.0" encoding="utf-8"?>
<comments xmlns="http://schemas.openxmlformats.org/spreadsheetml/2006/main">
  <authors>
    <author>Spokojený uživatel aplikací MS Office</author>
  </authors>
  <commentList>
    <comment ref="D31" authorId="0">
      <text>
        <r>
          <rPr>
            <sz val="8"/>
            <rFont val="Tahoma"/>
            <family val="0"/>
          </rPr>
          <t>Splátka úvěru pro potřeby zjištění bonity (bez progrese, pro fix min 5 let)</t>
        </r>
      </text>
    </comment>
    <comment ref="D32" authorId="0">
      <text>
        <r>
          <rPr>
            <sz val="8"/>
            <rFont val="Tahoma"/>
            <family val="0"/>
          </rPr>
          <t>Petr Syrový:
Finanční rezerva v příjmu klienta klienta (příjmy po odečtení výdajů)</t>
        </r>
      </text>
    </comment>
  </commentList>
</comments>
</file>

<file path=xl/comments9.xml><?xml version="1.0" encoding="utf-8"?>
<comments xmlns="http://schemas.openxmlformats.org/spreadsheetml/2006/main">
  <authors>
    <author>Spokojený uživatel aplikací MS Office</author>
    <author>Petr Syrov?</author>
  </authors>
  <commentList>
    <comment ref="E30" authorId="0">
      <text>
        <r>
          <rPr>
            <sz val="8"/>
            <rFont val="Tahoma"/>
            <family val="0"/>
          </rPr>
          <t>Petr Syrový:
HP odpovídající danému daňovému pásmu</t>
        </r>
      </text>
    </comment>
    <comment ref="G30" authorId="0">
      <text>
        <r>
          <rPr>
            <sz val="8"/>
            <rFont val="Tahoma"/>
            <family val="0"/>
          </rPr>
          <t>Petr Syrový:
ČP odpovídající danému hrubému příjmu a daňovému pásmu</t>
        </r>
      </text>
    </comment>
    <comment ref="E56" authorId="1">
      <text>
        <r>
          <rPr>
            <b/>
            <sz val="8"/>
            <rFont val="Tahoma"/>
            <family val="0"/>
          </rPr>
          <t>Petr Syrový:</t>
        </r>
        <r>
          <rPr>
            <sz val="8"/>
            <rFont val="Tahoma"/>
            <family val="0"/>
          </rPr>
          <t xml:space="preserve">
Splátka navýšená o možnost státní podpory</t>
        </r>
      </text>
    </comment>
  </commentList>
</comments>
</file>

<file path=xl/sharedStrings.xml><?xml version="1.0" encoding="utf-8"?>
<sst xmlns="http://schemas.openxmlformats.org/spreadsheetml/2006/main" count="271" uniqueCount="200">
  <si>
    <t>KALKULACE HYPOTEČNÍHO ÚVĚRU</t>
  </si>
  <si>
    <t>ČESKÉ SPOŘITELNY, a.s.</t>
  </si>
  <si>
    <t>KLIENT</t>
  </si>
  <si>
    <t>ZPRACOVAL</t>
  </si>
  <si>
    <t xml:space="preserve">Jméno a Příjmení </t>
  </si>
  <si>
    <t>Ulice</t>
  </si>
  <si>
    <t>Společnost</t>
  </si>
  <si>
    <t>Města, PSČ</t>
  </si>
  <si>
    <t>Adresa</t>
  </si>
  <si>
    <t>Telefon</t>
  </si>
  <si>
    <t>Email</t>
  </si>
  <si>
    <t>Vážený kliente,</t>
  </si>
  <si>
    <t xml:space="preserve">dovolujeme si Vás upozornit, že zde uvedené výpočty jsou pouze ilustrativní a nezávazné. </t>
  </si>
  <si>
    <t>Přesný výpočet Vámi požadovaného úvěru s Vámi provede osobní finanční partner České spořitelny, a.s.</t>
  </si>
  <si>
    <t xml:space="preserve">ZÁKLADNÍ DATA </t>
  </si>
  <si>
    <t>PRO VÝPOČET HYPOTEČNÍHO ÚVĚRU</t>
  </si>
  <si>
    <t>Výše investičního záměru a hypotečního úvěru</t>
  </si>
  <si>
    <t>Výše investičního záměru</t>
  </si>
  <si>
    <t>Výše vlastních prostředků</t>
  </si>
  <si>
    <t>Potřebná výše úvěru</t>
  </si>
  <si>
    <t>Odhadní hodnota nemovitosti 1</t>
  </si>
  <si>
    <t>Odhadní hodnota nemovitosti 2</t>
  </si>
  <si>
    <t>Celková odhadní hodnota</t>
  </si>
  <si>
    <t>Splatnost hypotečního úvěru</t>
  </si>
  <si>
    <t>Doba splatnosti (let)</t>
  </si>
  <si>
    <t>Úroková sazba hypotečního úvěru</t>
  </si>
  <si>
    <t>Státní podpora pro mladé</t>
  </si>
  <si>
    <t>Odpočet úroků od základu daně</t>
  </si>
  <si>
    <t>Předmět financování</t>
  </si>
  <si>
    <t xml:space="preserve">Čistý příjem klienta </t>
  </si>
  <si>
    <t>žadatel 1</t>
  </si>
  <si>
    <t>žadatel 2</t>
  </si>
  <si>
    <t>Celkový příjem</t>
  </si>
  <si>
    <t xml:space="preserve">Počet osob v domácnosti </t>
  </si>
  <si>
    <t>do 6 let</t>
  </si>
  <si>
    <t>od 6 do 10 let</t>
  </si>
  <si>
    <t>od 10 do 15 let</t>
  </si>
  <si>
    <t>od 15 do 26 let</t>
  </si>
  <si>
    <t>Ostatní</t>
  </si>
  <si>
    <t>Životní minimum</t>
  </si>
  <si>
    <t>Další výdaje</t>
  </si>
  <si>
    <t>ANALÝZA POTŘEB KLIENTA</t>
  </si>
  <si>
    <t>Splátka hypotečního úvěru</t>
  </si>
  <si>
    <t>Splátka úvěru</t>
  </si>
  <si>
    <t>Státní podpora</t>
  </si>
  <si>
    <t>Daňový odpočet</t>
  </si>
  <si>
    <t>Výsledná splátka</t>
  </si>
  <si>
    <t>Zajištění hypotečního úvěru</t>
  </si>
  <si>
    <t>Výše hypotečního úvěru</t>
  </si>
  <si>
    <t>Odhadní cena nemovitostí</t>
  </si>
  <si>
    <t>Výše úvěru (z ceny nemovitosti)</t>
  </si>
  <si>
    <t>Bonita klienta</t>
  </si>
  <si>
    <t>Celkové příjmy klienta</t>
  </si>
  <si>
    <t>Ostatní výdaje</t>
  </si>
  <si>
    <t>Finanční rezerva</t>
  </si>
  <si>
    <t xml:space="preserve">DOPLŇUJÍCÍ ÚDAJE O HYPOTEČNÍM ÚVĚRU </t>
  </si>
  <si>
    <t>Rok</t>
  </si>
  <si>
    <t>Výše HÚ</t>
  </si>
  <si>
    <t>Měsíční splátka</t>
  </si>
  <si>
    <t>z toho úrok</t>
  </si>
  <si>
    <t>z toho jistina</t>
  </si>
  <si>
    <t>Daňová úspora</t>
  </si>
  <si>
    <t>Čistá splátka</t>
  </si>
  <si>
    <t>Reálná hodnota splátky</t>
  </si>
  <si>
    <t>Posouzení a vyhodnocení žádosti o úvěr</t>
  </si>
  <si>
    <t>Podpora (pro starší bydlení)</t>
  </si>
  <si>
    <t>Výše podpory</t>
  </si>
  <si>
    <t>byt</t>
  </si>
  <si>
    <t>RD</t>
  </si>
  <si>
    <t>Zajištění úvěru</t>
  </si>
  <si>
    <t>potřebné zajištění úvěru</t>
  </si>
  <si>
    <t>Požadavky bonity</t>
  </si>
  <si>
    <t>násobek životního minima</t>
  </si>
  <si>
    <t>Příjem do</t>
  </si>
  <si>
    <t>požadavek</t>
  </si>
  <si>
    <t>(maximum splátky z příjmů)</t>
  </si>
  <si>
    <t>Příjem nad</t>
  </si>
  <si>
    <t>Poplatky</t>
  </si>
  <si>
    <t>Vstupní</t>
  </si>
  <si>
    <t>do 6 měsíců</t>
  </si>
  <si>
    <t>nad 6 měsíců</t>
  </si>
  <si>
    <t>Top Hypo</t>
  </si>
  <si>
    <t>z objemu úvěru</t>
  </si>
  <si>
    <t>minimum</t>
  </si>
  <si>
    <t>Mimo Top</t>
  </si>
  <si>
    <t>Měsíční</t>
  </si>
  <si>
    <t>s podporou</t>
  </si>
  <si>
    <t>bez podpory</t>
  </si>
  <si>
    <t>Výpočty ŽM</t>
  </si>
  <si>
    <t>Náklady na osobu</t>
  </si>
  <si>
    <t>Náklady na domácnost</t>
  </si>
  <si>
    <t>Počet osob</t>
  </si>
  <si>
    <t>3 nebo 4</t>
  </si>
  <si>
    <t>5 a více</t>
  </si>
  <si>
    <t>Daňová pásma</t>
  </si>
  <si>
    <t>Nezdanitelná částka</t>
  </si>
  <si>
    <t>Základ daně</t>
  </si>
  <si>
    <t>Pásmo</t>
  </si>
  <si>
    <t>Paušál</t>
  </si>
  <si>
    <t>Limit pro TOP HYPO</t>
  </si>
  <si>
    <t>BYT</t>
  </si>
  <si>
    <t>Inflace</t>
  </si>
  <si>
    <t>Graf pro příjmy (bonitu)</t>
  </si>
  <si>
    <t>Graf pro zajištění</t>
  </si>
  <si>
    <t>Výše úvěru</t>
  </si>
  <si>
    <t>Splátka</t>
  </si>
  <si>
    <t>Požadovaná cena nemovitosti</t>
  </si>
  <si>
    <t>Odhadní cena nemovitosti</t>
  </si>
  <si>
    <t>Rezerva</t>
  </si>
  <si>
    <t>počet bodů do grafu - 30</t>
  </si>
  <si>
    <t>úrok</t>
  </si>
  <si>
    <t>jistina</t>
  </si>
  <si>
    <t>Náklady na osoby</t>
  </si>
  <si>
    <t>Životní minimum rodiny</t>
  </si>
  <si>
    <t>Výše HÚ vůči zástavě</t>
  </si>
  <si>
    <t>Výše HÚ činí … % z hodnoty zástavy</t>
  </si>
  <si>
    <t>Výpočet státní podpory</t>
  </si>
  <si>
    <t>SP staší bydlení (do 36 let)</t>
  </si>
  <si>
    <t>ANO / NE</t>
  </si>
  <si>
    <t>Kolik</t>
  </si>
  <si>
    <t>Rodinný dům (1nebo2 BJ)</t>
  </si>
  <si>
    <t>Limit</t>
  </si>
  <si>
    <t>Splátka plná</t>
  </si>
  <si>
    <t>Splátka snížená</t>
  </si>
  <si>
    <t>Hrubý příjem</t>
  </si>
  <si>
    <t>Čistý příjem</t>
  </si>
  <si>
    <t>?v pásmu?</t>
  </si>
  <si>
    <t>Vyšší z obou příjmů (ročně)</t>
  </si>
  <si>
    <t>Daňové pásmo klienta</t>
  </si>
  <si>
    <t>Dostatečnost příjmů</t>
  </si>
  <si>
    <t>Násobek ŽM</t>
  </si>
  <si>
    <t>Výdaje</t>
  </si>
  <si>
    <t>Celkem</t>
  </si>
  <si>
    <t>Splátka jako % z příjmů</t>
  </si>
  <si>
    <t>Dostatečný příjem</t>
  </si>
  <si>
    <t>% splátky z příjmů</t>
  </si>
  <si>
    <t>Dostatečné příjmy?</t>
  </si>
  <si>
    <t>Byt</t>
  </si>
  <si>
    <t>Splatnost</t>
  </si>
  <si>
    <t>Rodinný dům</t>
  </si>
  <si>
    <t>Podpora pro mladé</t>
  </si>
  <si>
    <t>ANO</t>
  </si>
  <si>
    <t>NE</t>
  </si>
  <si>
    <t>Příjem a věk žadatelů (a spoludlužníků)</t>
  </si>
  <si>
    <t>Klient</t>
  </si>
  <si>
    <t>Spoludlužník</t>
  </si>
  <si>
    <t>Doba vyplácení</t>
  </si>
  <si>
    <t>Maximální výše HÚ</t>
  </si>
  <si>
    <t>a) splátka dle ŽM</t>
  </si>
  <si>
    <t>b) dle % z příjmů</t>
  </si>
  <si>
    <t>Maximální splátka</t>
  </si>
  <si>
    <t>Výše HÚ (bez podpory)</t>
  </si>
  <si>
    <t>Max splátka 2</t>
  </si>
  <si>
    <t>Výše HÚ (s podporou)</t>
  </si>
  <si>
    <t>Maximální výše splátky, která odpovídá příjmům klienta je</t>
  </si>
  <si>
    <t>Max. výše úvěru, která odpovídá příjmům klienta je (cca)</t>
  </si>
  <si>
    <t>Úrokové sazby - sazebník</t>
  </si>
  <si>
    <t>Doba fixace</t>
  </si>
  <si>
    <t>Fixace</t>
  </si>
  <si>
    <t>správa a vedení úvěrového účtu</t>
  </si>
  <si>
    <t>Pro úvěr do 5 mil Kč</t>
  </si>
  <si>
    <t>Pro úvěr nad 5 mil Kč</t>
  </si>
  <si>
    <t>Individuální sazba, minimálně však</t>
  </si>
  <si>
    <t>Produkty hypotečního úvěrování</t>
  </si>
  <si>
    <r>
      <t>Minimum</t>
    </r>
    <r>
      <rPr>
        <sz val="12"/>
        <color indexed="8"/>
        <rFont val="Arial"/>
        <family val="2"/>
      </rPr>
      <t xml:space="preserve"> </t>
    </r>
  </si>
  <si>
    <r>
      <t>Garantovaná</t>
    </r>
    <r>
      <rPr>
        <sz val="10"/>
        <color indexed="8"/>
        <rFont val="Arial"/>
        <family val="2"/>
      </rPr>
      <t>*</t>
    </r>
    <r>
      <rPr>
        <sz val="12"/>
        <color indexed="8"/>
        <rFont val="Arial"/>
        <family val="2"/>
      </rPr>
      <t xml:space="preserve"> </t>
    </r>
  </si>
  <si>
    <r>
      <t>Standardní</t>
    </r>
    <r>
      <rPr>
        <sz val="10"/>
        <color indexed="8"/>
        <rFont val="Arial"/>
        <family val="2"/>
      </rPr>
      <t> </t>
    </r>
    <r>
      <rPr>
        <sz val="12"/>
        <color indexed="8"/>
        <rFont val="Arial"/>
        <family val="2"/>
      </rPr>
      <t xml:space="preserve"> </t>
    </r>
  </si>
  <si>
    <r>
      <t> </t>
    </r>
    <r>
      <rPr>
        <b/>
        <sz val="10"/>
        <rFont val="Arial"/>
        <family val="2"/>
      </rPr>
      <t>Hypotéka HYPOHIT</t>
    </r>
  </si>
  <si>
    <r>
      <t> </t>
    </r>
    <r>
      <rPr>
        <sz val="12"/>
        <rFont val="Arial"/>
        <family val="2"/>
      </rPr>
      <t xml:space="preserve"> </t>
    </r>
  </si>
  <si>
    <t> pevná úroková sazba na 1 rok</t>
  </si>
  <si>
    <t> pevná úroková sazba na 3 roky</t>
  </si>
  <si>
    <r>
      <t> </t>
    </r>
    <r>
      <rPr>
        <b/>
        <sz val="10"/>
        <rFont val="Arial"/>
        <family val="2"/>
      </rPr>
      <t>Hypotéka Nové TOP Bydlení</t>
    </r>
    <r>
      <rPr>
        <sz val="12"/>
        <rFont val="Arial"/>
        <family val="2"/>
      </rPr>
      <t xml:space="preserve"> </t>
    </r>
  </si>
  <si>
    <t> pevná úroková sazba na 5 let</t>
  </si>
  <si>
    <t xml:space="preserve"> pevná úroková sazba na 10 let</t>
  </si>
  <si>
    <t>-</t>
  </si>
  <si>
    <t xml:space="preserve"> pevná úroková sazba na 15 let</t>
  </si>
  <si>
    <r>
      <t> </t>
    </r>
    <r>
      <rPr>
        <b/>
        <sz val="10"/>
        <rFont val="Arial"/>
        <family val="2"/>
      </rPr>
      <t>Hypotéka BONUS</t>
    </r>
  </si>
  <si>
    <r>
      <t> </t>
    </r>
    <r>
      <rPr>
        <b/>
        <sz val="10"/>
        <rFont val="Arial"/>
        <family val="2"/>
      </rPr>
      <t>Hypotéka Standard</t>
    </r>
  </si>
  <si>
    <t> pevná úroková sazba na 10 let</t>
  </si>
  <si>
    <t xml:space="preserve"> pevná úroková sazba na 15 let</t>
  </si>
  <si>
    <t>z hodnoty úvěru</t>
  </si>
  <si>
    <t>maximálně</t>
  </si>
  <si>
    <t>minimálně</t>
  </si>
  <si>
    <t> </t>
  </si>
  <si>
    <t> -</t>
  </si>
  <si>
    <t> 4,49%</t>
  </si>
  <si>
    <t> 5,49%</t>
  </si>
  <si>
    <t> 6,49%</t>
  </si>
  <si>
    <t> 3,8%</t>
  </si>
  <si>
    <t> 4,2%</t>
  </si>
  <si>
    <t> 4,7%</t>
  </si>
  <si>
    <t> 5,3%</t>
  </si>
  <si>
    <t> 6,99%</t>
  </si>
  <si>
    <t>fix</t>
  </si>
  <si>
    <t>Progesivní splácení</t>
  </si>
  <si>
    <t>Výpočty pro progresivní splácení</t>
  </si>
  <si>
    <t>výše úvěru</t>
  </si>
  <si>
    <t>Výše po fixu</t>
  </si>
  <si>
    <t>Další spl</t>
  </si>
  <si>
    <t>Úrokové sazby a poplatky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</si>
</sst>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&quot;Kč&quot;_-;\-* #,##0.0\ &quot;Kč&quot;_-;_-* &quot;-&quot;??\ &quot;Kč&quot;_-;_-@_-"/>
    <numFmt numFmtId="165" formatCode="_-* #,##0\ &quot;Kč&quot;_-;\-* #,##0\ &quot;Kč&quot;_-;_-* &quot;-&quot;??\ &quot;Kč&quot;_-;_-@_-"/>
    <numFmt numFmtId="166" formatCode="0.0%"/>
    <numFmt numFmtId="167" formatCode="0.00000"/>
    <numFmt numFmtId="168" formatCode="#,##0.0000"/>
    <numFmt numFmtId="169" formatCode="#,##0\ _K_č"/>
    <numFmt numFmtId="170" formatCode="#,##0;\-#,##0"/>
    <numFmt numFmtId="171" formatCode="#,##0;[Red]\-#,##0"/>
    <numFmt numFmtId="172" formatCode="#,##0.00;\-#,##0.00"/>
    <numFmt numFmtId="173" formatCode="#,##0.00;[Red]\-#,##0.00"/>
    <numFmt numFmtId="174" formatCode="d/m/yy"/>
    <numFmt numFmtId="175" formatCode="#,##0.000"/>
    <numFmt numFmtId="176" formatCode="0.000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_-* #,##0.000\ &quot;Kč&quot;_-;\-* #,##0.000\ &quot;Kč&quot;_-;_-* &quot;-&quot;??\ &quot;Kč&quot;_-;_-@_-"/>
    <numFmt numFmtId="181" formatCode="_-* #,##0.0\ _K_č_-;\-* #,##0.0\ _K_č_-;_-* &quot;-&quot;?\ _K_č_-;_-@_-"/>
    <numFmt numFmtId="182" formatCode="0.000%"/>
    <numFmt numFmtId="183" formatCode="#,##0.0\ &quot;Kč&quot;;[Red]\-#,##0.0\ &quot;Kč&quot;"/>
    <numFmt numFmtId="184" formatCode="0.0000"/>
    <numFmt numFmtId="185" formatCode="0.000"/>
    <numFmt numFmtId="186" formatCode="0.0"/>
    <numFmt numFmtId="187" formatCode="#,##0\ &quot;Kč&quot;"/>
    <numFmt numFmtId="188" formatCode="#,##0.00\ &quot;Kč&quot;"/>
    <numFmt numFmtId="189" formatCode="0.000000"/>
  </numFmts>
  <fonts count="4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sz val="8"/>
      <name val="Tahoma"/>
      <family val="2"/>
    </font>
    <font>
      <u val="single"/>
      <sz val="10"/>
      <color indexed="12"/>
      <name val="Arial CE"/>
      <family val="0"/>
    </font>
    <font>
      <sz val="12"/>
      <name val="Arial CE"/>
      <family val="2"/>
    </font>
    <font>
      <sz val="10"/>
      <color indexed="10"/>
      <name val="Arial CE"/>
      <family val="2"/>
    </font>
    <font>
      <sz val="9.5"/>
      <name val="Arial CE"/>
      <family val="0"/>
    </font>
    <font>
      <sz val="9.25"/>
      <name val="Arial CE"/>
      <family val="0"/>
    </font>
    <font>
      <sz val="11.5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u val="single"/>
      <sz val="10"/>
      <color indexed="36"/>
      <name val="Arial CE"/>
      <family val="0"/>
    </font>
    <font>
      <b/>
      <sz val="10"/>
      <color indexed="5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 val="singleAccounting"/>
      <sz val="28"/>
      <name val="Arial"/>
      <family val="2"/>
    </font>
    <font>
      <i/>
      <sz val="8"/>
      <name val="Arial"/>
      <family val="2"/>
    </font>
    <font>
      <b/>
      <u val="singleAccounting"/>
      <sz val="20"/>
      <name val="Arial"/>
      <family val="2"/>
    </font>
    <font>
      <sz val="10"/>
      <color indexed="10"/>
      <name val="Arial"/>
      <family val="2"/>
    </font>
    <font>
      <sz val="18"/>
      <name val="Arial CE"/>
      <family val="2"/>
    </font>
    <font>
      <sz val="18"/>
      <name val="Arial"/>
      <family val="2"/>
    </font>
    <font>
      <b/>
      <i/>
      <sz val="10"/>
      <color indexed="10"/>
      <name val="Arial"/>
      <family val="2"/>
    </font>
    <font>
      <sz val="18"/>
      <color indexed="8"/>
      <name val="Arial"/>
      <family val="2"/>
    </font>
    <font>
      <b/>
      <i/>
      <sz val="8"/>
      <name val="Arial"/>
      <family val="2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"/>
      <family val="2"/>
    </font>
    <font>
      <b/>
      <sz val="8"/>
      <name val="Arial CE"/>
      <family val="2"/>
    </font>
    <font>
      <b/>
      <sz val="8"/>
      <name val="Tahoma"/>
      <family val="0"/>
    </font>
    <font>
      <i/>
      <sz val="10"/>
      <color indexed="22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2"/>
      <color indexed="8"/>
      <name val="Arial Unicode MS"/>
      <family val="2"/>
    </font>
    <font>
      <i/>
      <sz val="12"/>
      <name val="Arial CE"/>
      <family val="2"/>
    </font>
    <font>
      <b/>
      <i/>
      <sz val="10"/>
      <name val="Arial"/>
      <family val="2"/>
    </font>
    <font>
      <b/>
      <sz val="1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1" fillId="0" borderId="0" xfId="0" applyFont="1" applyAlignment="1">
      <alignment/>
    </xf>
    <xf numFmtId="166" fontId="0" fillId="2" borderId="0" xfId="20" applyNumberFormat="1" applyFill="1" applyAlignment="1">
      <alignment/>
    </xf>
    <xf numFmtId="10" fontId="0" fillId="0" borderId="0" xfId="0" applyNumberFormat="1" applyAlignment="1">
      <alignment/>
    </xf>
    <xf numFmtId="0" fontId="3" fillId="0" borderId="0" xfId="0" applyFont="1" applyAlignment="1">
      <alignment/>
    </xf>
    <xf numFmtId="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6" fontId="0" fillId="0" borderId="0" xfId="0" applyNumberForma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5" fontId="0" fillId="0" borderId="0" xfId="18" applyNumberFormat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6" fontId="0" fillId="0" borderId="0" xfId="20" applyNumberFormat="1" applyAlignment="1">
      <alignment/>
    </xf>
    <xf numFmtId="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6" fontId="0" fillId="0" borderId="15" xfId="0" applyNumberFormat="1" applyBorder="1" applyAlignment="1">
      <alignment/>
    </xf>
    <xf numFmtId="6" fontId="1" fillId="2" borderId="0" xfId="0" applyNumberFormat="1" applyFont="1" applyFill="1" applyAlignment="1">
      <alignment/>
    </xf>
    <xf numFmtId="165" fontId="0" fillId="2" borderId="0" xfId="18" applyNumberFormat="1" applyFill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6" fillId="0" borderId="21" xfId="0" applyFont="1" applyBorder="1" applyAlignment="1">
      <alignment/>
    </xf>
    <xf numFmtId="0" fontId="0" fillId="0" borderId="22" xfId="0" applyBorder="1" applyAlignment="1">
      <alignment/>
    </xf>
    <xf numFmtId="6" fontId="0" fillId="0" borderId="20" xfId="0" applyNumberFormat="1" applyBorder="1" applyAlignment="1">
      <alignment/>
    </xf>
    <xf numFmtId="0" fontId="0" fillId="0" borderId="23" xfId="0" applyBorder="1" applyAlignment="1">
      <alignment/>
    </xf>
    <xf numFmtId="10" fontId="0" fillId="0" borderId="24" xfId="0" applyNumberFormat="1" applyBorder="1" applyAlignment="1">
      <alignment/>
    </xf>
    <xf numFmtId="6" fontId="0" fillId="0" borderId="25" xfId="0" applyNumberFormat="1" applyBorder="1" applyAlignment="1">
      <alignment/>
    </xf>
    <xf numFmtId="9" fontId="0" fillId="0" borderId="24" xfId="0" applyNumberFormat="1" applyBorder="1" applyAlignment="1">
      <alignment/>
    </xf>
    <xf numFmtId="0" fontId="0" fillId="3" borderId="26" xfId="0" applyFill="1" applyBorder="1" applyAlignment="1">
      <alignment/>
    </xf>
    <xf numFmtId="6" fontId="0" fillId="3" borderId="27" xfId="0" applyNumberFormat="1" applyFill="1" applyBorder="1" applyAlignment="1">
      <alignment/>
    </xf>
    <xf numFmtId="0" fontId="7" fillId="0" borderId="0" xfId="0" applyFont="1" applyAlignment="1">
      <alignment/>
    </xf>
    <xf numFmtId="6" fontId="0" fillId="3" borderId="0" xfId="0" applyNumberFormat="1" applyFill="1" applyBorder="1" applyAlignment="1">
      <alignment/>
    </xf>
    <xf numFmtId="0" fontId="1" fillId="2" borderId="0" xfId="0" applyFont="1" applyFill="1" applyAlignment="1">
      <alignment/>
    </xf>
    <xf numFmtId="6" fontId="0" fillId="0" borderId="6" xfId="0" applyNumberFormat="1" applyBorder="1" applyAlignment="1">
      <alignment/>
    </xf>
    <xf numFmtId="165" fontId="0" fillId="0" borderId="4" xfId="0" applyNumberFormat="1" applyFont="1" applyFill="1" applyBorder="1" applyAlignment="1">
      <alignment horizontal="right"/>
    </xf>
    <xf numFmtId="6" fontId="0" fillId="0" borderId="4" xfId="0" applyNumberFormat="1" applyBorder="1" applyAlignment="1">
      <alignment/>
    </xf>
    <xf numFmtId="165" fontId="0" fillId="0" borderId="14" xfId="0" applyNumberFormat="1" applyFont="1" applyFill="1" applyBorder="1" applyAlignment="1">
      <alignment horizontal="right"/>
    </xf>
    <xf numFmtId="6" fontId="0" fillId="0" borderId="14" xfId="0" applyNumberFormat="1" applyBorder="1" applyAlignment="1">
      <alignment/>
    </xf>
    <xf numFmtId="2" fontId="0" fillId="0" borderId="0" xfId="0" applyNumberFormat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165" fontId="0" fillId="0" borderId="5" xfId="0" applyNumberFormat="1" applyFont="1" applyFill="1" applyBorder="1" applyAlignment="1">
      <alignment horizontal="right"/>
    </xf>
    <xf numFmtId="6" fontId="0" fillId="0" borderId="5" xfId="0" applyNumberFormat="1" applyBorder="1" applyAlignment="1">
      <alignment/>
    </xf>
    <xf numFmtId="1" fontId="0" fillId="0" borderId="31" xfId="0" applyNumberFormat="1" applyBorder="1" applyAlignment="1">
      <alignment/>
    </xf>
    <xf numFmtId="1" fontId="0" fillId="0" borderId="32" xfId="0" applyNumberFormat="1" applyBorder="1" applyAlignment="1">
      <alignment/>
    </xf>
    <xf numFmtId="1" fontId="0" fillId="0" borderId="33" xfId="0" applyNumberFormat="1" applyBorder="1" applyAlignment="1">
      <alignment/>
    </xf>
    <xf numFmtId="3" fontId="0" fillId="0" borderId="0" xfId="18" applyNumberFormat="1" applyFont="1" applyAlignment="1">
      <alignment/>
    </xf>
    <xf numFmtId="9" fontId="0" fillId="3" borderId="0" xfId="20" applyFont="1" applyFill="1" applyAlignment="1">
      <alignment/>
    </xf>
    <xf numFmtId="3" fontId="0" fillId="3" borderId="0" xfId="18" applyNumberFormat="1" applyFont="1" applyFill="1" applyAlignment="1">
      <alignment/>
    </xf>
    <xf numFmtId="9" fontId="0" fillId="3" borderId="0" xfId="0" applyNumberFormat="1" applyFill="1" applyAlignment="1">
      <alignment/>
    </xf>
    <xf numFmtId="0" fontId="11" fillId="0" borderId="0" xfId="0" applyFont="1" applyAlignment="1">
      <alignment/>
    </xf>
    <xf numFmtId="0" fontId="11" fillId="0" borderId="34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35" xfId="0" applyFont="1" applyBorder="1" applyAlignment="1">
      <alignment/>
    </xf>
    <xf numFmtId="10" fontId="14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1" fillId="0" borderId="36" xfId="0" applyFont="1" applyBorder="1" applyAlignment="1">
      <alignment/>
    </xf>
    <xf numFmtId="165" fontId="11" fillId="4" borderId="36" xfId="18" applyNumberFormat="1" applyFont="1" applyFill="1" applyBorder="1" applyAlignment="1" applyProtection="1">
      <alignment/>
      <protection locked="0"/>
    </xf>
    <xf numFmtId="165" fontId="12" fillId="2" borderId="36" xfId="0" applyNumberFormat="1" applyFont="1" applyFill="1" applyBorder="1" applyAlignment="1">
      <alignment/>
    </xf>
    <xf numFmtId="0" fontId="20" fillId="0" borderId="37" xfId="0" applyFont="1" applyBorder="1" applyAlignment="1">
      <alignment/>
    </xf>
    <xf numFmtId="0" fontId="21" fillId="2" borderId="26" xfId="0" applyFont="1" applyFill="1" applyBorder="1" applyAlignment="1">
      <alignment/>
    </xf>
    <xf numFmtId="0" fontId="20" fillId="2" borderId="37" xfId="0" applyFont="1" applyFill="1" applyBorder="1" applyAlignment="1">
      <alignment/>
    </xf>
    <xf numFmtId="10" fontId="11" fillId="4" borderId="38" xfId="0" applyNumberFormat="1" applyFont="1" applyFill="1" applyBorder="1" applyAlignment="1" applyProtection="1">
      <alignment/>
      <protection locked="0"/>
    </xf>
    <xf numFmtId="165" fontId="11" fillId="4" borderId="39" xfId="18" applyNumberFormat="1" applyFont="1" applyFill="1" applyBorder="1" applyAlignment="1" applyProtection="1">
      <alignment/>
      <protection locked="0"/>
    </xf>
    <xf numFmtId="165" fontId="11" fillId="4" borderId="40" xfId="18" applyNumberFormat="1" applyFont="1" applyFill="1" applyBorder="1" applyAlignment="1" applyProtection="1">
      <alignment/>
      <protection locked="0"/>
    </xf>
    <xf numFmtId="165" fontId="12" fillId="2" borderId="37" xfId="18" applyNumberFormat="1" applyFont="1" applyFill="1" applyBorder="1" applyAlignment="1">
      <alignment/>
    </xf>
    <xf numFmtId="0" fontId="12" fillId="0" borderId="37" xfId="0" applyFont="1" applyBorder="1" applyAlignment="1">
      <alignment horizontal="left"/>
    </xf>
    <xf numFmtId="0" fontId="18" fillId="0" borderId="0" xfId="0" applyFont="1" applyAlignment="1">
      <alignment/>
    </xf>
    <xf numFmtId="0" fontId="2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/>
    </xf>
    <xf numFmtId="0" fontId="26" fillId="0" borderId="35" xfId="0" applyFont="1" applyBorder="1" applyAlignment="1">
      <alignment horizontal="left" vertical="center"/>
    </xf>
    <xf numFmtId="0" fontId="23" fillId="0" borderId="32" xfId="0" applyFont="1" applyBorder="1" applyAlignment="1">
      <alignment/>
    </xf>
    <xf numFmtId="0" fontId="12" fillId="0" borderId="13" xfId="0" applyFont="1" applyBorder="1" applyAlignment="1" applyProtection="1">
      <alignment wrapText="1"/>
      <protection locked="0"/>
    </xf>
    <xf numFmtId="3" fontId="12" fillId="0" borderId="13" xfId="0" applyNumberFormat="1" applyFont="1" applyBorder="1" applyAlignment="1" applyProtection="1">
      <alignment horizontal="left" wrapText="1"/>
      <protection locked="0"/>
    </xf>
    <xf numFmtId="0" fontId="23" fillId="0" borderId="33" xfId="0" applyFont="1" applyBorder="1" applyAlignment="1">
      <alignment/>
    </xf>
    <xf numFmtId="0" fontId="5" fillId="0" borderId="15" xfId="17" applyBorder="1" applyAlignment="1" applyProtection="1">
      <alignment wrapText="1"/>
      <protection locked="0"/>
    </xf>
    <xf numFmtId="0" fontId="12" fillId="0" borderId="0" xfId="0" applyFont="1" applyFill="1" applyBorder="1" applyAlignment="1">
      <alignment/>
    </xf>
    <xf numFmtId="0" fontId="11" fillId="4" borderId="41" xfId="0" applyFont="1" applyFill="1" applyBorder="1" applyAlignment="1" applyProtection="1">
      <alignment horizontal="right"/>
      <protection locked="0"/>
    </xf>
    <xf numFmtId="0" fontId="11" fillId="4" borderId="36" xfId="0" applyFont="1" applyFill="1" applyBorder="1" applyAlignment="1" applyProtection="1">
      <alignment horizontal="right"/>
      <protection locked="0"/>
    </xf>
    <xf numFmtId="0" fontId="11" fillId="4" borderId="40" xfId="0" applyFont="1" applyFill="1" applyBorder="1" applyAlignment="1" applyProtection="1">
      <alignment horizontal="right"/>
      <protection locked="0"/>
    </xf>
    <xf numFmtId="0" fontId="30" fillId="0" borderId="0" xfId="0" applyFont="1" applyAlignment="1">
      <alignment/>
    </xf>
    <xf numFmtId="14" fontId="18" fillId="0" borderId="0" xfId="0" applyNumberFormat="1" applyFont="1" applyAlignment="1" applyProtection="1">
      <alignment/>
      <protection locked="0"/>
    </xf>
    <xf numFmtId="0" fontId="11" fillId="0" borderId="36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24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12" fillId="0" borderId="9" xfId="0" applyFont="1" applyFill="1" applyBorder="1" applyAlignment="1">
      <alignment horizontal="left"/>
    </xf>
    <xf numFmtId="0" fontId="12" fillId="0" borderId="42" xfId="0" applyFont="1" applyFill="1" applyBorder="1" applyAlignment="1">
      <alignment horizontal="left"/>
    </xf>
    <xf numFmtId="0" fontId="29" fillId="3" borderId="22" xfId="0" applyFont="1" applyFill="1" applyBorder="1" applyAlignment="1" applyProtection="1">
      <alignment horizontal="left" vertical="center"/>
      <protection hidden="1"/>
    </xf>
    <xf numFmtId="0" fontId="21" fillId="2" borderId="26" xfId="0" applyFont="1" applyFill="1" applyBorder="1" applyAlignment="1">
      <alignment horizontal="left"/>
    </xf>
    <xf numFmtId="0" fontId="21" fillId="2" borderId="37" xfId="0" applyFont="1" applyFill="1" applyBorder="1" applyAlignment="1">
      <alignment horizontal="left"/>
    </xf>
    <xf numFmtId="0" fontId="29" fillId="3" borderId="23" xfId="0" applyFont="1" applyFill="1" applyBorder="1" applyAlignment="1" applyProtection="1">
      <alignment horizontal="left" vertical="center"/>
      <protection hidden="1"/>
    </xf>
    <xf numFmtId="0" fontId="11" fillId="0" borderId="36" xfId="0" applyFont="1" applyBorder="1" applyAlignment="1">
      <alignment/>
    </xf>
    <xf numFmtId="0" fontId="0" fillId="0" borderId="36" xfId="0" applyBorder="1" applyAlignment="1">
      <alignment/>
    </xf>
    <xf numFmtId="0" fontId="11" fillId="0" borderId="41" xfId="0" applyFont="1" applyBorder="1" applyAlignment="1">
      <alignment horizontal="right"/>
    </xf>
    <xf numFmtId="0" fontId="11" fillId="0" borderId="43" xfId="0" applyFont="1" applyBorder="1" applyAlignment="1">
      <alignment horizontal="right"/>
    </xf>
    <xf numFmtId="0" fontId="11" fillId="0" borderId="36" xfId="0" applyFont="1" applyBorder="1" applyAlignment="1">
      <alignment horizontal="left"/>
    </xf>
    <xf numFmtId="0" fontId="12" fillId="0" borderId="37" xfId="0" applyFont="1" applyFill="1" applyBorder="1" applyAlignment="1">
      <alignment horizontal="left"/>
    </xf>
    <xf numFmtId="0" fontId="11" fillId="0" borderId="41" xfId="0" applyFont="1" applyFill="1" applyBorder="1" applyAlignment="1">
      <alignment horizontal="left"/>
    </xf>
    <xf numFmtId="0" fontId="11" fillId="0" borderId="36" xfId="0" applyFont="1" applyFill="1" applyBorder="1" applyAlignment="1">
      <alignment horizontal="left"/>
    </xf>
    <xf numFmtId="0" fontId="11" fillId="0" borderId="40" xfId="0" applyFont="1" applyFill="1" applyBorder="1" applyAlignment="1">
      <alignment horizontal="left"/>
    </xf>
    <xf numFmtId="0" fontId="11" fillId="0" borderId="37" xfId="0" applyFont="1" applyFill="1" applyBorder="1" applyAlignment="1">
      <alignment horizontal="left"/>
    </xf>
    <xf numFmtId="0" fontId="11" fillId="0" borderId="39" xfId="0" applyFont="1" applyFill="1" applyBorder="1" applyAlignment="1">
      <alignment horizontal="left"/>
    </xf>
    <xf numFmtId="0" fontId="16" fillId="0" borderId="37" xfId="0" applyFont="1" applyBorder="1" applyAlignment="1">
      <alignment horizontal="left"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3" fillId="0" borderId="0" xfId="0" applyFont="1" applyBorder="1" applyAlignment="1">
      <alignment/>
    </xf>
    <xf numFmtId="165" fontId="11" fillId="4" borderId="44" xfId="18" applyNumberFormat="1" applyFont="1" applyFill="1" applyBorder="1" applyAlignment="1" applyProtection="1">
      <alignment/>
      <protection locked="0"/>
    </xf>
    <xf numFmtId="165" fontId="11" fillId="4" borderId="45" xfId="18" applyNumberFormat="1" applyFont="1" applyFill="1" applyBorder="1" applyAlignment="1" applyProtection="1">
      <alignment/>
      <protection locked="0"/>
    </xf>
    <xf numFmtId="165" fontId="12" fillId="2" borderId="46" xfId="18" applyNumberFormat="1" applyFont="1" applyFill="1" applyBorder="1" applyAlignment="1">
      <alignment/>
    </xf>
    <xf numFmtId="0" fontId="11" fillId="4" borderId="44" xfId="0" applyFont="1" applyFill="1" applyBorder="1" applyAlignment="1" applyProtection="1">
      <alignment horizontal="right"/>
      <protection locked="0"/>
    </xf>
    <xf numFmtId="0" fontId="11" fillId="4" borderId="47" xfId="0" applyFont="1" applyFill="1" applyBorder="1" applyAlignment="1" applyProtection="1">
      <alignment horizontal="right"/>
      <protection locked="0"/>
    </xf>
    <xf numFmtId="0" fontId="11" fillId="4" borderId="45" xfId="0" applyFont="1" applyFill="1" applyBorder="1" applyAlignment="1" applyProtection="1">
      <alignment horizontal="right"/>
      <protection locked="0"/>
    </xf>
    <xf numFmtId="165" fontId="11" fillId="4" borderId="48" xfId="18" applyNumberFormat="1" applyFont="1" applyFill="1" applyBorder="1" applyAlignment="1" applyProtection="1">
      <alignment/>
      <protection locked="0"/>
    </xf>
    <xf numFmtId="6" fontId="1" fillId="0" borderId="0" xfId="0" applyNumberFormat="1" applyFont="1" applyAlignment="1">
      <alignment/>
    </xf>
    <xf numFmtId="6" fontId="3" fillId="0" borderId="0" xfId="0" applyNumberFormat="1" applyFont="1" applyAlignment="1">
      <alignment/>
    </xf>
    <xf numFmtId="0" fontId="14" fillId="0" borderId="0" xfId="0" applyFont="1" applyAlignment="1">
      <alignment/>
    </xf>
    <xf numFmtId="6" fontId="11" fillId="0" borderId="36" xfId="0" applyNumberFormat="1" applyFont="1" applyBorder="1" applyAlignment="1">
      <alignment/>
    </xf>
    <xf numFmtId="10" fontId="11" fillId="0" borderId="36" xfId="0" applyNumberFormat="1" applyFont="1" applyBorder="1" applyAlignment="1">
      <alignment/>
    </xf>
    <xf numFmtId="0" fontId="43" fillId="0" borderId="16" xfId="0" applyFont="1" applyBorder="1" applyAlignment="1">
      <alignment/>
    </xf>
    <xf numFmtId="0" fontId="11" fillId="0" borderId="0" xfId="0" applyFont="1" applyBorder="1" applyAlignment="1">
      <alignment wrapText="1"/>
    </xf>
    <xf numFmtId="0" fontId="40" fillId="0" borderId="0" xfId="0" applyFont="1" applyBorder="1" applyAlignment="1">
      <alignment horizontal="center" wrapText="1"/>
    </xf>
    <xf numFmtId="0" fontId="14" fillId="0" borderId="0" xfId="0" applyFont="1" applyAlignment="1">
      <alignment horizontal="right"/>
    </xf>
    <xf numFmtId="10" fontId="44" fillId="0" borderId="0" xfId="20" applyNumberFormat="1" applyFont="1" applyAlignment="1">
      <alignment horizontal="left"/>
    </xf>
    <xf numFmtId="0" fontId="25" fillId="0" borderId="0" xfId="0" applyFont="1" applyAlignment="1">
      <alignment horizontal="right"/>
    </xf>
    <xf numFmtId="0" fontId="44" fillId="0" borderId="0" xfId="0" applyFont="1" applyAlignment="1">
      <alignment/>
    </xf>
    <xf numFmtId="0" fontId="11" fillId="5" borderId="49" xfId="0" applyFont="1" applyFill="1" applyBorder="1" applyAlignment="1">
      <alignment wrapText="1"/>
    </xf>
    <xf numFmtId="0" fontId="40" fillId="5" borderId="49" xfId="0" applyFont="1" applyFill="1" applyBorder="1" applyAlignment="1">
      <alignment horizontal="center" wrapText="1"/>
    </xf>
    <xf numFmtId="10" fontId="40" fillId="5" borderId="49" xfId="0" applyNumberFormat="1" applyFont="1" applyFill="1" applyBorder="1" applyAlignment="1">
      <alignment horizontal="center" wrapText="1"/>
    </xf>
    <xf numFmtId="166" fontId="40" fillId="5" borderId="49" xfId="0" applyNumberFormat="1" applyFont="1" applyFill="1" applyBorder="1" applyAlignment="1">
      <alignment horizontal="center" wrapText="1"/>
    </xf>
    <xf numFmtId="0" fontId="12" fillId="0" borderId="4" xfId="0" applyFont="1" applyBorder="1" applyAlignment="1">
      <alignment wrapText="1"/>
    </xf>
    <xf numFmtId="0" fontId="38" fillId="0" borderId="4" xfId="0" applyFont="1" applyBorder="1" applyAlignment="1">
      <alignment horizontal="center" wrapText="1"/>
    </xf>
    <xf numFmtId="0" fontId="11" fillId="6" borderId="50" xfId="0" applyFont="1" applyFill="1" applyBorder="1" applyAlignment="1">
      <alignment wrapText="1"/>
    </xf>
    <xf numFmtId="0" fontId="40" fillId="6" borderId="50" xfId="0" applyFont="1" applyFill="1" applyBorder="1" applyAlignment="1">
      <alignment horizontal="center" wrapText="1"/>
    </xf>
    <xf numFmtId="10" fontId="40" fillId="6" borderId="50" xfId="0" applyNumberFormat="1" applyFont="1" applyFill="1" applyBorder="1" applyAlignment="1">
      <alignment horizontal="center" wrapText="1"/>
    </xf>
    <xf numFmtId="0" fontId="11" fillId="5" borderId="51" xfId="0" applyFont="1" applyFill="1" applyBorder="1" applyAlignment="1">
      <alignment wrapText="1"/>
    </xf>
    <xf numFmtId="0" fontId="11" fillId="5" borderId="50" xfId="0" applyFont="1" applyFill="1" applyBorder="1" applyAlignment="1">
      <alignment wrapText="1"/>
    </xf>
    <xf numFmtId="0" fontId="42" fillId="5" borderId="50" xfId="0" applyFont="1" applyFill="1" applyBorder="1" applyAlignment="1">
      <alignment horizontal="center" wrapText="1"/>
    </xf>
    <xf numFmtId="10" fontId="40" fillId="5" borderId="50" xfId="0" applyNumberFormat="1" applyFont="1" applyFill="1" applyBorder="1" applyAlignment="1">
      <alignment horizontal="center" wrapText="1"/>
    </xf>
    <xf numFmtId="0" fontId="11" fillId="6" borderId="51" xfId="0" applyFont="1" applyFill="1" applyBorder="1" applyAlignment="1">
      <alignment wrapText="1"/>
    </xf>
    <xf numFmtId="0" fontId="40" fillId="5" borderId="51" xfId="0" applyFont="1" applyFill="1" applyBorder="1" applyAlignment="1">
      <alignment horizontal="center" wrapText="1"/>
    </xf>
    <xf numFmtId="0" fontId="11" fillId="5" borderId="1" xfId="0" applyFont="1" applyFill="1" applyBorder="1" applyAlignment="1">
      <alignment wrapText="1"/>
    </xf>
    <xf numFmtId="0" fontId="11" fillId="5" borderId="22" xfId="0" applyFont="1" applyFill="1" applyBorder="1" applyAlignment="1">
      <alignment wrapText="1"/>
    </xf>
    <xf numFmtId="0" fontId="11" fillId="5" borderId="2" xfId="0" applyFont="1" applyFill="1" applyBorder="1" applyAlignment="1">
      <alignment wrapText="1"/>
    </xf>
    <xf numFmtId="0" fontId="11" fillId="6" borderId="52" xfId="0" applyFont="1" applyFill="1" applyBorder="1" applyAlignment="1">
      <alignment wrapText="1"/>
    </xf>
    <xf numFmtId="0" fontId="40" fillId="6" borderId="52" xfId="0" applyFont="1" applyFill="1" applyBorder="1" applyAlignment="1">
      <alignment horizontal="center" wrapText="1"/>
    </xf>
    <xf numFmtId="0" fontId="11" fillId="6" borderId="1" xfId="0" applyFont="1" applyFill="1" applyBorder="1" applyAlignment="1">
      <alignment wrapText="1"/>
    </xf>
    <xf numFmtId="0" fontId="11" fillId="6" borderId="22" xfId="0" applyFont="1" applyFill="1" applyBorder="1" applyAlignment="1">
      <alignment wrapText="1"/>
    </xf>
    <xf numFmtId="0" fontId="11" fillId="6" borderId="2" xfId="0" applyFont="1" applyFill="1" applyBorder="1" applyAlignment="1">
      <alignment wrapText="1"/>
    </xf>
    <xf numFmtId="10" fontId="40" fillId="5" borderId="51" xfId="0" applyNumberFormat="1" applyFont="1" applyFill="1" applyBorder="1" applyAlignment="1">
      <alignment horizontal="center" wrapText="1"/>
    </xf>
    <xf numFmtId="0" fontId="40" fillId="6" borderId="51" xfId="0" applyFont="1" applyFill="1" applyBorder="1" applyAlignment="1">
      <alignment horizontal="center" wrapText="1"/>
    </xf>
    <xf numFmtId="10" fontId="40" fillId="6" borderId="51" xfId="0" applyNumberFormat="1" applyFont="1" applyFill="1" applyBorder="1" applyAlignment="1">
      <alignment horizontal="center" wrapText="1"/>
    </xf>
    <xf numFmtId="0" fontId="41" fillId="6" borderId="1" xfId="0" applyFont="1" applyFill="1" applyBorder="1" applyAlignment="1">
      <alignment wrapText="1"/>
    </xf>
    <xf numFmtId="0" fontId="41" fillId="6" borderId="22" xfId="0" applyFont="1" applyFill="1" applyBorder="1" applyAlignment="1">
      <alignment wrapText="1"/>
    </xf>
    <xf numFmtId="0" fontId="41" fillId="6" borderId="2" xfId="0" applyFont="1" applyFill="1" applyBorder="1" applyAlignment="1">
      <alignment wrapText="1"/>
    </xf>
    <xf numFmtId="0" fontId="7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7" fillId="3" borderId="53" xfId="0" applyFont="1" applyFill="1" applyBorder="1" applyAlignment="1" applyProtection="1">
      <alignment horizontal="left" vertical="center"/>
      <protection hidden="1"/>
    </xf>
    <xf numFmtId="0" fontId="27" fillId="3" borderId="54" xfId="0" applyFont="1" applyFill="1" applyBorder="1" applyAlignment="1" applyProtection="1">
      <alignment horizontal="left" vertical="center"/>
      <protection hidden="1"/>
    </xf>
    <xf numFmtId="0" fontId="27" fillId="3" borderId="55" xfId="0" applyFont="1" applyFill="1" applyBorder="1" applyAlignment="1" applyProtection="1">
      <alignment horizontal="left" vertical="center"/>
      <protection hidden="1"/>
    </xf>
    <xf numFmtId="0" fontId="26" fillId="0" borderId="56" xfId="0" applyFont="1" applyBorder="1" applyAlignment="1" applyProtection="1">
      <alignment horizontal="left" vertical="center"/>
      <protection hidden="1"/>
    </xf>
    <xf numFmtId="0" fontId="26" fillId="0" borderId="35" xfId="0" applyFont="1" applyBorder="1" applyAlignment="1" applyProtection="1">
      <alignment horizontal="left" vertical="center"/>
      <protection hidden="1"/>
    </xf>
    <xf numFmtId="0" fontId="26" fillId="0" borderId="57" xfId="0" applyFont="1" applyBorder="1" applyAlignment="1" applyProtection="1">
      <alignment horizontal="left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58" xfId="0" applyBorder="1" applyAlignment="1" applyProtection="1">
      <alignment horizontal="center" vertical="center"/>
      <protection hidden="1"/>
    </xf>
    <xf numFmtId="0" fontId="17" fillId="0" borderId="59" xfId="0" applyFont="1" applyBorder="1" applyAlignment="1" applyProtection="1">
      <alignment horizontal="center"/>
      <protection hidden="1"/>
    </xf>
    <xf numFmtId="0" fontId="17" fillId="0" borderId="60" xfId="0" applyFont="1" applyBorder="1" applyAlignment="1" applyProtection="1">
      <alignment horizontal="center" wrapText="1"/>
      <protection hidden="1"/>
    </xf>
    <xf numFmtId="0" fontId="17" fillId="0" borderId="61" xfId="0" applyFont="1" applyBorder="1" applyAlignment="1" applyProtection="1">
      <alignment horizontal="center" wrapText="1"/>
      <protection hidden="1"/>
    </xf>
    <xf numFmtId="0" fontId="18" fillId="0" borderId="62" xfId="0" applyFont="1" applyBorder="1" applyAlignment="1" applyProtection="1">
      <alignment/>
      <protection hidden="1"/>
    </xf>
    <xf numFmtId="165" fontId="18" fillId="0" borderId="21" xfId="0" applyNumberFormat="1" applyFont="1" applyFill="1" applyBorder="1" applyAlignment="1" applyProtection="1">
      <alignment horizontal="right"/>
      <protection hidden="1"/>
    </xf>
    <xf numFmtId="6" fontId="18" fillId="0" borderId="21" xfId="0" applyNumberFormat="1" applyFont="1" applyBorder="1" applyAlignment="1" applyProtection="1">
      <alignment/>
      <protection hidden="1"/>
    </xf>
    <xf numFmtId="6" fontId="18" fillId="0" borderId="63" xfId="0" applyNumberFormat="1" applyFont="1" applyBorder="1" applyAlignment="1" applyProtection="1">
      <alignment/>
      <protection hidden="1"/>
    </xf>
    <xf numFmtId="0" fontId="18" fillId="0" borderId="32" xfId="0" applyFont="1" applyBorder="1" applyAlignment="1" applyProtection="1">
      <alignment/>
      <protection hidden="1"/>
    </xf>
    <xf numFmtId="165" fontId="18" fillId="0" borderId="4" xfId="0" applyNumberFormat="1" applyFont="1" applyFill="1" applyBorder="1" applyAlignment="1" applyProtection="1">
      <alignment horizontal="right"/>
      <protection hidden="1"/>
    </xf>
    <xf numFmtId="6" fontId="18" fillId="0" borderId="4" xfId="0" applyNumberFormat="1" applyFont="1" applyBorder="1" applyAlignment="1" applyProtection="1">
      <alignment/>
      <protection hidden="1"/>
    </xf>
    <xf numFmtId="6" fontId="18" fillId="0" borderId="13" xfId="0" applyNumberFormat="1" applyFont="1" applyBorder="1" applyAlignment="1" applyProtection="1">
      <alignment/>
      <protection hidden="1"/>
    </xf>
    <xf numFmtId="0" fontId="18" fillId="0" borderId="33" xfId="0" applyFont="1" applyBorder="1" applyAlignment="1" applyProtection="1">
      <alignment/>
      <protection hidden="1"/>
    </xf>
    <xf numFmtId="165" fontId="18" fillId="0" borderId="14" xfId="0" applyNumberFormat="1" applyFont="1" applyFill="1" applyBorder="1" applyAlignment="1" applyProtection="1">
      <alignment horizontal="right"/>
      <protection hidden="1"/>
    </xf>
    <xf numFmtId="6" fontId="18" fillId="0" borderId="14" xfId="0" applyNumberFormat="1" applyFont="1" applyBorder="1" applyAlignment="1" applyProtection="1">
      <alignment/>
      <protection hidden="1"/>
    </xf>
    <xf numFmtId="6" fontId="18" fillId="0" borderId="15" xfId="0" applyNumberFormat="1" applyFont="1" applyBorder="1" applyAlignment="1" applyProtection="1">
      <alignment/>
      <protection hidden="1"/>
    </xf>
    <xf numFmtId="0" fontId="18" fillId="0" borderId="0" xfId="0" applyFont="1" applyBorder="1" applyAlignment="1" applyProtection="1">
      <alignment/>
      <protection hidden="1"/>
    </xf>
    <xf numFmtId="165" fontId="18" fillId="0" borderId="0" xfId="0" applyNumberFormat="1" applyFont="1" applyFill="1" applyBorder="1" applyAlignment="1" applyProtection="1">
      <alignment horizontal="right"/>
      <protection hidden="1"/>
    </xf>
    <xf numFmtId="6" fontId="18" fillId="0" borderId="0" xfId="0" applyNumberFormat="1" applyFont="1" applyBorder="1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27" fillId="3" borderId="22" xfId="0" applyFont="1" applyFill="1" applyBorder="1" applyAlignment="1" applyProtection="1">
      <alignment horizontal="left" vertical="center"/>
      <protection hidden="1"/>
    </xf>
    <xf numFmtId="0" fontId="11" fillId="0" borderId="0" xfId="0" applyFont="1" applyAlignment="1" applyProtection="1">
      <alignment/>
      <protection hidden="1"/>
    </xf>
    <xf numFmtId="0" fontId="16" fillId="0" borderId="37" xfId="0" applyFont="1" applyBorder="1" applyAlignment="1" applyProtection="1">
      <alignment/>
      <protection hidden="1"/>
    </xf>
    <xf numFmtId="0" fontId="11" fillId="0" borderId="37" xfId="0" applyFont="1" applyBorder="1" applyAlignment="1" applyProtection="1">
      <alignment/>
      <protection hidden="1"/>
    </xf>
    <xf numFmtId="0" fontId="11" fillId="0" borderId="36" xfId="0" applyFont="1" applyBorder="1" applyAlignment="1" applyProtection="1">
      <alignment/>
      <protection hidden="1"/>
    </xf>
    <xf numFmtId="6" fontId="11" fillId="4" borderId="36" xfId="0" applyNumberFormat="1" applyFont="1" applyFill="1" applyBorder="1" applyAlignment="1" applyProtection="1">
      <alignment/>
      <protection hidden="1"/>
    </xf>
    <xf numFmtId="0" fontId="11" fillId="0" borderId="40" xfId="0" applyFont="1" applyBorder="1" applyAlignment="1" applyProtection="1">
      <alignment/>
      <protection hidden="1"/>
    </xf>
    <xf numFmtId="6" fontId="11" fillId="4" borderId="40" xfId="0" applyNumberFormat="1" applyFont="1" applyFill="1" applyBorder="1" applyAlignment="1" applyProtection="1">
      <alignment/>
      <protection hidden="1"/>
    </xf>
    <xf numFmtId="0" fontId="11" fillId="0" borderId="64" xfId="0" applyFont="1" applyBorder="1" applyAlignment="1" applyProtection="1">
      <alignment/>
      <protection hidden="1"/>
    </xf>
    <xf numFmtId="6" fontId="12" fillId="2" borderId="64" xfId="0" applyNumberFormat="1" applyFont="1" applyFill="1" applyBorder="1" applyAlignment="1" applyProtection="1">
      <alignment/>
      <protection hidden="1"/>
    </xf>
    <xf numFmtId="166" fontId="12" fillId="2" borderId="64" xfId="20" applyNumberFormat="1" applyFont="1" applyFill="1" applyBorder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25" fillId="0" borderId="0" xfId="0" applyFont="1" applyAlignment="1" applyProtection="1">
      <alignment/>
      <protection hidden="1"/>
    </xf>
    <xf numFmtId="0" fontId="11" fillId="0" borderId="0" xfId="0" applyFont="1" applyBorder="1" applyAlignment="1" applyProtection="1">
      <alignment/>
      <protection hidden="1"/>
    </xf>
    <xf numFmtId="6" fontId="11" fillId="4" borderId="0" xfId="0" applyNumberFormat="1" applyFont="1" applyFill="1" applyBorder="1" applyAlignment="1" applyProtection="1">
      <alignment/>
      <protection hidden="1"/>
    </xf>
    <xf numFmtId="6" fontId="11" fillId="2" borderId="64" xfId="0" applyNumberFormat="1" applyFont="1" applyFill="1" applyBorder="1" applyAlignment="1" applyProtection="1">
      <alignment/>
      <protection hidden="1"/>
    </xf>
    <xf numFmtId="0" fontId="37" fillId="0" borderId="0" xfId="0" applyFont="1" applyAlignment="1" applyProtection="1">
      <alignment/>
      <protection hidden="1"/>
    </xf>
    <xf numFmtId="0" fontId="37" fillId="0" borderId="0" xfId="0" applyFont="1" applyAlignment="1" applyProtection="1">
      <alignment horizontal="right"/>
      <protection hidden="1"/>
    </xf>
    <xf numFmtId="6" fontId="37" fillId="0" borderId="0" xfId="0" applyNumberFormat="1" applyFont="1" applyAlignment="1" applyProtection="1">
      <alignment/>
      <protection hidden="1"/>
    </xf>
    <xf numFmtId="0" fontId="11" fillId="5" borderId="20" xfId="0" applyFont="1" applyFill="1" applyBorder="1" applyAlignment="1">
      <alignment horizontal="center" wrapText="1"/>
    </xf>
    <xf numFmtId="0" fontId="11" fillId="5" borderId="23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wrapText="1"/>
    </xf>
    <xf numFmtId="0" fontId="45" fillId="3" borderId="0" xfId="0" applyFont="1" applyFill="1" applyBorder="1" applyAlignment="1">
      <alignment horizontal="center" vertical="center"/>
    </xf>
    <xf numFmtId="0" fontId="11" fillId="6" borderId="20" xfId="0" applyFont="1" applyFill="1" applyBorder="1" applyAlignment="1">
      <alignment horizontal="center" wrapText="1"/>
    </xf>
    <xf numFmtId="0" fontId="11" fillId="6" borderId="23" xfId="0" applyFont="1" applyFill="1" applyBorder="1" applyAlignment="1">
      <alignment horizontal="center" wrapText="1"/>
    </xf>
    <xf numFmtId="0" fontId="11" fillId="6" borderId="3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Percent" xfId="20"/>
    <cellStyle name="Sledovaný hypertextový odkaz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Složení splátky hypotečního úvěru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2255"/>
          <c:w val="0.737"/>
          <c:h val="0.71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Výstup!$A$8</c:f>
              <c:strCache>
                <c:ptCount val="1"/>
                <c:pt idx="0">
                  <c:v>Výsledná splátka</c:v>
                </c:pt>
              </c:strCache>
            </c:strRef>
          </c:tx>
          <c:spPr>
            <a:solidFill>
              <a:srgbClr val="6666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Výstup!$C$8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Výstup!$A$7</c:f>
              <c:strCache>
                <c:ptCount val="1"/>
                <c:pt idx="0">
                  <c:v>Daňový odpočet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Výstup!$C$7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Výstup!$A$6</c:f>
              <c:strCache>
                <c:ptCount val="1"/>
                <c:pt idx="0">
                  <c:v>Státní podpora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Výstup!$C$6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18110635"/>
        <c:axId val="28777988"/>
      </c:barChart>
      <c:catAx>
        <c:axId val="18110635"/>
        <c:scaling>
          <c:orientation val="minMax"/>
        </c:scaling>
        <c:axPos val="b"/>
        <c:delete val="1"/>
        <c:majorTickMark val="out"/>
        <c:minorTickMark val="none"/>
        <c:tickLblPos val="nextTo"/>
        <c:crossAx val="28777988"/>
        <c:crosses val="autoZero"/>
        <c:auto val="0"/>
        <c:lblOffset val="100"/>
        <c:noMultiLvlLbl val="0"/>
      </c:catAx>
      <c:valAx>
        <c:axId val="2877798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81106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Porovnání příjmů klienta se splátkou úvěru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22025"/>
          <c:w val="0.7805"/>
          <c:h val="0.72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pom_grafy!$A$6</c:f>
              <c:strCache>
                <c:ptCount val="1"/>
                <c:pt idx="0">
                  <c:v>Splátka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pom_grafy!$B$6</c:f>
              <c:numCache>
                <c:ptCount val="1"/>
                <c:pt idx="0">
                  <c:v>5305.890392780493</c:v>
                </c:pt>
              </c:numCache>
            </c:numRef>
          </c:val>
        </c:ser>
        <c:ser>
          <c:idx val="1"/>
          <c:order val="1"/>
          <c:tx>
            <c:strRef>
              <c:f>pom_grafy!$A$5</c:f>
              <c:strCache>
                <c:ptCount val="1"/>
                <c:pt idx="0">
                  <c:v>1,5 nás ŽM</c:v>
                </c:pt>
              </c:strCache>
            </c:strRef>
          </c:tx>
          <c:spPr>
            <a:solidFill>
              <a:srgbClr val="6666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pom_grafy!$B$5</c:f>
              <c:numCache>
                <c:ptCount val="1"/>
                <c:pt idx="0">
                  <c:v>13815</c:v>
                </c:pt>
              </c:numCache>
            </c:numRef>
          </c:val>
        </c:ser>
        <c:ser>
          <c:idx val="2"/>
          <c:order val="2"/>
          <c:tx>
            <c:strRef>
              <c:f>pom_grafy!$A$7</c:f>
              <c:strCache>
                <c:ptCount val="1"/>
                <c:pt idx="0">
                  <c:v>Další výdaje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pom_grafy!$B$7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pom_grafy!$A$8</c:f>
              <c:strCache>
                <c:ptCount val="1"/>
                <c:pt idx="0">
                  <c:v>Rezerva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pom_grafy!$B$8</c:f>
              <c:numCache>
                <c:ptCount val="1"/>
                <c:pt idx="0">
                  <c:v>3879.109607219507</c:v>
                </c:pt>
              </c:numCache>
            </c:numRef>
          </c:val>
        </c:ser>
        <c:overlap val="100"/>
        <c:axId val="57675301"/>
        <c:axId val="49315662"/>
      </c:barChart>
      <c:catAx>
        <c:axId val="57675301"/>
        <c:scaling>
          <c:orientation val="minMax"/>
        </c:scaling>
        <c:axPos val="b"/>
        <c:delete val="1"/>
        <c:majorTickMark val="out"/>
        <c:minorTickMark val="none"/>
        <c:tickLblPos val="nextTo"/>
        <c:crossAx val="49315662"/>
        <c:crosses val="autoZero"/>
        <c:auto val="0"/>
        <c:lblOffset val="100"/>
        <c:noMultiLvlLbl val="0"/>
      </c:catAx>
      <c:valAx>
        <c:axId val="493156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6753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"/>
          <c:y val="0.36725"/>
          <c:w val="0.16525"/>
          <c:h val="0.389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Porovnání výše úvěru a ceny nemovitosti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755"/>
          <c:w val="0.74375"/>
          <c:h val="0.7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pom_grafy!$E$5</c:f>
              <c:strCache>
                <c:ptCount val="1"/>
                <c:pt idx="0">
                  <c:v>Výše úvěru</c:v>
                </c:pt>
              </c:strCache>
            </c:strRef>
          </c:tx>
          <c:spPr>
            <a:solidFill>
              <a:srgbClr val="6666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pom_grafy!$H$5</c:f>
              <c:numCache>
                <c:ptCount val="1"/>
                <c:pt idx="0">
                  <c:v>800000</c:v>
                </c:pt>
              </c:numCache>
            </c:numRef>
          </c:val>
        </c:ser>
        <c:ser>
          <c:idx val="1"/>
          <c:order val="1"/>
          <c:tx>
            <c:strRef>
              <c:f>pom_grafy!$E$6</c:f>
              <c:strCache>
                <c:ptCount val="1"/>
                <c:pt idx="0">
                  <c:v>Požadovaná cena nemovitosti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pom_grafy!$H$6</c:f>
              <c:numCache>
                <c:ptCount val="1"/>
                <c:pt idx="0">
                  <c:v>987654.3209876543</c:v>
                </c:pt>
              </c:numCache>
            </c:numRef>
          </c:val>
        </c:ser>
        <c:ser>
          <c:idx val="2"/>
          <c:order val="2"/>
          <c:tx>
            <c:strRef>
              <c:f>pom_grafy!$E$7</c:f>
              <c:strCache>
                <c:ptCount val="1"/>
                <c:pt idx="0">
                  <c:v>Odhadní cena nemovitosti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pom_grafy!$H$7</c:f>
              <c:numCache>
                <c:ptCount val="1"/>
                <c:pt idx="0">
                  <c:v>1600000</c:v>
                </c:pt>
              </c:numCache>
            </c:numRef>
          </c:val>
        </c:ser>
        <c:axId val="41187775"/>
        <c:axId val="35145656"/>
      </c:barChart>
      <c:catAx>
        <c:axId val="41187775"/>
        <c:scaling>
          <c:orientation val="minMax"/>
        </c:scaling>
        <c:axPos val="b"/>
        <c:delete val="1"/>
        <c:majorTickMark val="out"/>
        <c:minorTickMark val="none"/>
        <c:tickLblPos val="nextTo"/>
        <c:crossAx val="35145656"/>
        <c:crosses val="autoZero"/>
        <c:auto val="0"/>
        <c:lblOffset val="100"/>
        <c:noMultiLvlLbl val="0"/>
      </c:catAx>
      <c:valAx>
        <c:axId val="351456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1877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6"/>
          <c:y val="0.3005"/>
          <c:w val="0.21175"/>
          <c:h val="0.503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Výše hypotečního úvěru v čase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13225"/>
          <c:w val="0.92025"/>
          <c:h val="0.776"/>
        </c:manualLayout>
      </c:layout>
      <c:areaChart>
        <c:grouping val="stacked"/>
        <c:varyColors val="0"/>
        <c:ser>
          <c:idx val="1"/>
          <c:order val="0"/>
          <c:tx>
            <c:strRef>
              <c:f>pom_grafy!$B$13</c:f>
              <c:strCache>
                <c:ptCount val="1"/>
                <c:pt idx="0">
                  <c:v>Výše HÚ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pom_grafy!$A$14:$A$44</c:f>
              <c:numCache>
                <c:ptCount val="31"/>
                <c:pt idx="0">
                  <c:v>0</c:v>
                </c:pt>
                <c:pt idx="1">
                  <c:v>0.6666666666666666</c:v>
                </c:pt>
                <c:pt idx="2">
                  <c:v>1.3333333333333333</c:v>
                </c:pt>
                <c:pt idx="3">
                  <c:v>2</c:v>
                </c:pt>
                <c:pt idx="4">
                  <c:v>2.6666666666666665</c:v>
                </c:pt>
                <c:pt idx="5">
                  <c:v>3.333333333333333</c:v>
                </c:pt>
                <c:pt idx="6">
                  <c:v>3.9999999999999996</c:v>
                </c:pt>
                <c:pt idx="7">
                  <c:v>4.666666666666666</c:v>
                </c:pt>
                <c:pt idx="8">
                  <c:v>5.333333333333333</c:v>
                </c:pt>
                <c:pt idx="9">
                  <c:v>6</c:v>
                </c:pt>
                <c:pt idx="10">
                  <c:v>6.666666666666667</c:v>
                </c:pt>
                <c:pt idx="11">
                  <c:v>7.333333333333334</c:v>
                </c:pt>
                <c:pt idx="12">
                  <c:v>8</c:v>
                </c:pt>
                <c:pt idx="13">
                  <c:v>8.666666666666666</c:v>
                </c:pt>
                <c:pt idx="14">
                  <c:v>9.333333333333332</c:v>
                </c:pt>
                <c:pt idx="15">
                  <c:v>9.999999999999998</c:v>
                </c:pt>
                <c:pt idx="16">
                  <c:v>10.666666666666664</c:v>
                </c:pt>
                <c:pt idx="17">
                  <c:v>11.33333333333333</c:v>
                </c:pt>
                <c:pt idx="18">
                  <c:v>11.999999999999996</c:v>
                </c:pt>
                <c:pt idx="19">
                  <c:v>12.666666666666663</c:v>
                </c:pt>
                <c:pt idx="20">
                  <c:v>13.333333333333329</c:v>
                </c:pt>
                <c:pt idx="21">
                  <c:v>13.999999999999995</c:v>
                </c:pt>
                <c:pt idx="22">
                  <c:v>14.66666666666666</c:v>
                </c:pt>
                <c:pt idx="23">
                  <c:v>15.333333333333327</c:v>
                </c:pt>
                <c:pt idx="24">
                  <c:v>15.999999999999993</c:v>
                </c:pt>
                <c:pt idx="25">
                  <c:v>16.66666666666666</c:v>
                </c:pt>
                <c:pt idx="26">
                  <c:v>17.33333333333333</c:v>
                </c:pt>
                <c:pt idx="27">
                  <c:v>17.999999999999996</c:v>
                </c:pt>
                <c:pt idx="28">
                  <c:v>18.666666666666664</c:v>
                </c:pt>
                <c:pt idx="29">
                  <c:v>19.333333333333332</c:v>
                </c:pt>
                <c:pt idx="30">
                  <c:v>20</c:v>
                </c:pt>
              </c:numCache>
            </c:numRef>
          </c:cat>
          <c:val>
            <c:numRef>
              <c:f>pom_grafy!$B$14:$B$44</c:f>
              <c:numCache>
                <c:ptCount val="31"/>
                <c:pt idx="0">
                  <c:v>800000</c:v>
                </c:pt>
                <c:pt idx="1">
                  <c:v>780400.1627974998</c:v>
                </c:pt>
                <c:pt idx="2">
                  <c:v>760400.6890600341</c:v>
                </c:pt>
                <c:pt idx="3">
                  <c:v>739993.4302831828</c:v>
                </c:pt>
                <c:pt idx="4">
                  <c:v>719170.0718162439</c:v>
                </c:pt>
                <c:pt idx="5">
                  <c:v>697922.1294745468</c:v>
                </c:pt>
                <c:pt idx="6">
                  <c:v>676240.9460826892</c:v>
                </c:pt>
                <c:pt idx="7">
                  <c:v>654117.6879472941</c:v>
                </c:pt>
                <c:pt idx="8">
                  <c:v>631543.3412578447</c:v>
                </c:pt>
                <c:pt idx="9">
                  <c:v>608508.7084141342</c:v>
                </c:pt>
                <c:pt idx="10">
                  <c:v>585004.4042788333</c:v>
                </c:pt>
                <c:pt idx="11">
                  <c:v>561020.8523536472</c:v>
                </c:pt>
                <c:pt idx="12">
                  <c:v>536548.2808775067</c:v>
                </c:pt>
                <c:pt idx="13">
                  <c:v>511576.7188452012</c:v>
                </c:pt>
                <c:pt idx="14">
                  <c:v>486095.9919448327</c:v>
                </c:pt>
                <c:pt idx="15">
                  <c:v>460095.7184124358</c:v>
                </c:pt>
                <c:pt idx="16">
                  <c:v>433565.3048020735</c:v>
                </c:pt>
                <c:pt idx="17">
                  <c:v>406493.94166968693</c:v>
                </c:pt>
                <c:pt idx="18">
                  <c:v>378870.5991689391</c:v>
                </c:pt>
                <c:pt idx="19">
                  <c:v>350684.02255725925</c:v>
                </c:pt>
                <c:pt idx="20">
                  <c:v>321922.72761025594</c:v>
                </c:pt>
                <c:pt idx="21">
                  <c:v>292574.9959426316</c:v>
                </c:pt>
                <c:pt idx="22">
                  <c:v>262628.87023369095</c:v>
                </c:pt>
                <c:pt idx="23">
                  <c:v>232072.14935549887</c:v>
                </c:pt>
                <c:pt idx="24">
                  <c:v>200892.38340170225</c:v>
                </c:pt>
                <c:pt idx="25">
                  <c:v>169076.86861499082</c:v>
                </c:pt>
                <c:pt idx="26">
                  <c:v>136612.6422111297</c:v>
                </c:pt>
                <c:pt idx="27">
                  <c:v>103486.4770974553</c:v>
                </c:pt>
                <c:pt idx="28">
                  <c:v>69684.8764836822</c:v>
                </c:pt>
                <c:pt idx="29">
                  <c:v>35194.06838282587</c:v>
                </c:pt>
                <c:pt idx="30">
                  <c:v>1.0186340659856796E-10</c:v>
                </c:pt>
              </c:numCache>
            </c:numRef>
          </c:val>
        </c:ser>
        <c:axId val="47875449"/>
        <c:axId val="28225858"/>
      </c:areaChart>
      <c:catAx>
        <c:axId val="47875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Čas (v letech)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225858"/>
        <c:crosses val="autoZero"/>
        <c:auto val="0"/>
        <c:lblOffset val="100"/>
        <c:noMultiLvlLbl val="0"/>
      </c:catAx>
      <c:valAx>
        <c:axId val="2822585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Výše úvěru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875449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Složení splátky hypotečního úvěru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3525"/>
          <c:w val="0.963"/>
          <c:h val="0.69125"/>
        </c:manualLayout>
      </c:layout>
      <c:areaChart>
        <c:grouping val="stacked"/>
        <c:varyColors val="0"/>
        <c:ser>
          <c:idx val="0"/>
          <c:order val="0"/>
          <c:tx>
            <c:strRef>
              <c:f>pom_grafy!$D$13</c:f>
              <c:strCache>
                <c:ptCount val="1"/>
                <c:pt idx="0">
                  <c:v>úrok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pom_grafy!$A$14:$A$44</c:f>
              <c:numCache>
                <c:ptCount val="31"/>
                <c:pt idx="0">
                  <c:v>0</c:v>
                </c:pt>
                <c:pt idx="1">
                  <c:v>0.6666666666666666</c:v>
                </c:pt>
                <c:pt idx="2">
                  <c:v>1.3333333333333333</c:v>
                </c:pt>
                <c:pt idx="3">
                  <c:v>2</c:v>
                </c:pt>
                <c:pt idx="4">
                  <c:v>2.6666666666666665</c:v>
                </c:pt>
                <c:pt idx="5">
                  <c:v>3.333333333333333</c:v>
                </c:pt>
                <c:pt idx="6">
                  <c:v>3.9999999999999996</c:v>
                </c:pt>
                <c:pt idx="7">
                  <c:v>4.666666666666666</c:v>
                </c:pt>
                <c:pt idx="8">
                  <c:v>5.333333333333333</c:v>
                </c:pt>
                <c:pt idx="9">
                  <c:v>6</c:v>
                </c:pt>
                <c:pt idx="10">
                  <c:v>6.666666666666667</c:v>
                </c:pt>
                <c:pt idx="11">
                  <c:v>7.333333333333334</c:v>
                </c:pt>
                <c:pt idx="12">
                  <c:v>8</c:v>
                </c:pt>
                <c:pt idx="13">
                  <c:v>8.666666666666666</c:v>
                </c:pt>
                <c:pt idx="14">
                  <c:v>9.333333333333332</c:v>
                </c:pt>
                <c:pt idx="15">
                  <c:v>9.999999999999998</c:v>
                </c:pt>
                <c:pt idx="16">
                  <c:v>10.666666666666664</c:v>
                </c:pt>
                <c:pt idx="17">
                  <c:v>11.33333333333333</c:v>
                </c:pt>
                <c:pt idx="18">
                  <c:v>11.999999999999996</c:v>
                </c:pt>
                <c:pt idx="19">
                  <c:v>12.666666666666663</c:v>
                </c:pt>
                <c:pt idx="20">
                  <c:v>13.333333333333329</c:v>
                </c:pt>
                <c:pt idx="21">
                  <c:v>13.999999999999995</c:v>
                </c:pt>
                <c:pt idx="22">
                  <c:v>14.66666666666666</c:v>
                </c:pt>
                <c:pt idx="23">
                  <c:v>15.333333333333327</c:v>
                </c:pt>
                <c:pt idx="24">
                  <c:v>15.999999999999993</c:v>
                </c:pt>
                <c:pt idx="25">
                  <c:v>16.66666666666666</c:v>
                </c:pt>
                <c:pt idx="26">
                  <c:v>17.33333333333333</c:v>
                </c:pt>
                <c:pt idx="27">
                  <c:v>17.999999999999996</c:v>
                </c:pt>
                <c:pt idx="28">
                  <c:v>18.666666666666664</c:v>
                </c:pt>
                <c:pt idx="29">
                  <c:v>19.333333333333332</c:v>
                </c:pt>
                <c:pt idx="30">
                  <c:v>20</c:v>
                </c:pt>
              </c:numCache>
            </c:numRef>
          </c:cat>
          <c:val>
            <c:numRef>
              <c:f>pom_grafy!$D$14:$D$44</c:f>
              <c:numCache>
                <c:ptCount val="31"/>
                <c:pt idx="0">
                  <c:v>2021.0185185185185</c:v>
                </c:pt>
                <c:pt idx="1">
                  <c:v>1971.5039760857671</c:v>
                </c:pt>
                <c:pt idx="2">
                  <c:v>1920.9798426057134</c:v>
                </c:pt>
                <c:pt idx="3">
                  <c:v>1869.4255327304434</c:v>
                </c:pt>
                <c:pt idx="4">
                  <c:v>1816.8200413811521</c:v>
                </c:pt>
                <c:pt idx="5">
                  <c:v>1763.1419351899226</c:v>
                </c:pt>
                <c:pt idx="6">
                  <c:v>1708.3693437669976</c:v>
                </c:pt>
                <c:pt idx="7">
                  <c:v>1652.4799507899986</c:v>
                </c:pt>
                <c:pt idx="8">
                  <c:v>1595.4509849114554</c:v>
                </c:pt>
                <c:pt idx="9">
                  <c:v>1537.2592104809385</c:v>
                </c:pt>
                <c:pt idx="10">
                  <c:v>1477.8809180780202</c:v>
                </c:pt>
                <c:pt idx="11">
                  <c:v>1417.2919148522055</c:v>
                </c:pt>
                <c:pt idx="12">
                  <c:v>1355.4675146658958</c:v>
                </c:pt>
                <c:pt idx="13">
                  <c:v>1292.3825280363662</c:v>
                </c:pt>
                <c:pt idx="14">
                  <c:v>1228.0112518726694</c:v>
                </c:pt>
                <c:pt idx="15">
                  <c:v>1162.327459003268</c:v>
                </c:pt>
                <c:pt idx="16">
                  <c:v>1095.3043874901455</c:v>
                </c:pt>
                <c:pt idx="17">
                  <c:v>1026.9147297250297</c:v>
                </c:pt>
                <c:pt idx="18">
                  <c:v>957.130621303291</c:v>
                </c:pt>
                <c:pt idx="19">
                  <c:v>885.9236296709836</c:v>
                </c:pt>
                <c:pt idx="20">
                  <c:v>813.2647425404</c:v>
                </c:pt>
                <c:pt idx="21">
                  <c:v>739.1243560694236</c:v>
                </c:pt>
                <c:pt idx="22">
                  <c:v>663.4722627998578</c:v>
                </c:pt>
                <c:pt idx="23">
                  <c:v>586.2776393498233</c:v>
                </c:pt>
                <c:pt idx="24">
                  <c:v>507.5090338552031</c:v>
                </c:pt>
                <c:pt idx="25">
                  <c:v>427.13435315502363</c:v>
                </c:pt>
                <c:pt idx="26">
                  <c:v>345.12084971554725</c:v>
                </c:pt>
                <c:pt idx="27">
                  <c:v>261.4351082877496</c:v>
                </c:pt>
                <c:pt idx="28">
                  <c:v>176.04303229274666</c:v>
                </c:pt>
                <c:pt idx="29">
                  <c:v>88.9098299296227</c:v>
                </c:pt>
                <c:pt idx="30">
                  <c:v>2.573347888688591E-13</c:v>
                </c:pt>
              </c:numCache>
            </c:numRef>
          </c:val>
        </c:ser>
        <c:ser>
          <c:idx val="1"/>
          <c:order val="1"/>
          <c:tx>
            <c:strRef>
              <c:f>pom_grafy!$E$13</c:f>
              <c:strCache>
                <c:ptCount val="1"/>
                <c:pt idx="0">
                  <c:v>jistina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pom_grafy!$A$14:$A$44</c:f>
              <c:numCache>
                <c:ptCount val="31"/>
                <c:pt idx="0">
                  <c:v>0</c:v>
                </c:pt>
                <c:pt idx="1">
                  <c:v>0.6666666666666666</c:v>
                </c:pt>
                <c:pt idx="2">
                  <c:v>1.3333333333333333</c:v>
                </c:pt>
                <c:pt idx="3">
                  <c:v>2</c:v>
                </c:pt>
                <c:pt idx="4">
                  <c:v>2.6666666666666665</c:v>
                </c:pt>
                <c:pt idx="5">
                  <c:v>3.333333333333333</c:v>
                </c:pt>
                <c:pt idx="6">
                  <c:v>3.9999999999999996</c:v>
                </c:pt>
                <c:pt idx="7">
                  <c:v>4.666666666666666</c:v>
                </c:pt>
                <c:pt idx="8">
                  <c:v>5.333333333333333</c:v>
                </c:pt>
                <c:pt idx="9">
                  <c:v>6</c:v>
                </c:pt>
                <c:pt idx="10">
                  <c:v>6.666666666666667</c:v>
                </c:pt>
                <c:pt idx="11">
                  <c:v>7.333333333333334</c:v>
                </c:pt>
                <c:pt idx="12">
                  <c:v>8</c:v>
                </c:pt>
                <c:pt idx="13">
                  <c:v>8.666666666666666</c:v>
                </c:pt>
                <c:pt idx="14">
                  <c:v>9.333333333333332</c:v>
                </c:pt>
                <c:pt idx="15">
                  <c:v>9.999999999999998</c:v>
                </c:pt>
                <c:pt idx="16">
                  <c:v>10.666666666666664</c:v>
                </c:pt>
                <c:pt idx="17">
                  <c:v>11.33333333333333</c:v>
                </c:pt>
                <c:pt idx="18">
                  <c:v>11.999999999999996</c:v>
                </c:pt>
                <c:pt idx="19">
                  <c:v>12.666666666666663</c:v>
                </c:pt>
                <c:pt idx="20">
                  <c:v>13.333333333333329</c:v>
                </c:pt>
                <c:pt idx="21">
                  <c:v>13.999999999999995</c:v>
                </c:pt>
                <c:pt idx="22">
                  <c:v>14.66666666666666</c:v>
                </c:pt>
                <c:pt idx="23">
                  <c:v>15.333333333333327</c:v>
                </c:pt>
                <c:pt idx="24">
                  <c:v>15.999999999999993</c:v>
                </c:pt>
                <c:pt idx="25">
                  <c:v>16.66666666666666</c:v>
                </c:pt>
                <c:pt idx="26">
                  <c:v>17.33333333333333</c:v>
                </c:pt>
                <c:pt idx="27">
                  <c:v>17.999999999999996</c:v>
                </c:pt>
                <c:pt idx="28">
                  <c:v>18.666666666666664</c:v>
                </c:pt>
                <c:pt idx="29">
                  <c:v>19.333333333333332</c:v>
                </c:pt>
                <c:pt idx="30">
                  <c:v>20</c:v>
                </c:pt>
              </c:numCache>
            </c:numRef>
          </c:cat>
          <c:val>
            <c:numRef>
              <c:f>pom_grafy!$E$14:$E$44</c:f>
              <c:numCache>
                <c:ptCount val="31"/>
                <c:pt idx="0">
                  <c:v>2428.399022431824</c:v>
                </c:pt>
                <c:pt idx="1">
                  <c:v>2477.913564864575</c:v>
                </c:pt>
                <c:pt idx="2">
                  <c:v>2528.437698344629</c:v>
                </c:pt>
                <c:pt idx="3">
                  <c:v>2579.9920082198987</c:v>
                </c:pt>
                <c:pt idx="4">
                  <c:v>2632.5974995691904</c:v>
                </c:pt>
                <c:pt idx="5">
                  <c:v>2686.2756057604215</c:v>
                </c:pt>
                <c:pt idx="6">
                  <c:v>2741.0481971833465</c:v>
                </c:pt>
                <c:pt idx="7">
                  <c:v>2796.9375901603453</c:v>
                </c:pt>
                <c:pt idx="8">
                  <c:v>2853.9665560388885</c:v>
                </c:pt>
                <c:pt idx="9">
                  <c:v>2912.158330469406</c:v>
                </c:pt>
                <c:pt idx="10">
                  <c:v>2971.536622872324</c:v>
                </c:pt>
                <c:pt idx="11">
                  <c:v>3032.1256260981386</c:v>
                </c:pt>
                <c:pt idx="12">
                  <c:v>3093.9500262844485</c:v>
                </c:pt>
                <c:pt idx="13">
                  <c:v>3157.035012913978</c:v>
                </c:pt>
                <c:pt idx="14">
                  <c:v>3221.406289077675</c:v>
                </c:pt>
                <c:pt idx="15">
                  <c:v>3287.090081947076</c:v>
                </c:pt>
                <c:pt idx="16">
                  <c:v>3354.1131534601986</c:v>
                </c:pt>
                <c:pt idx="17">
                  <c:v>3422.5028112253144</c:v>
                </c:pt>
                <c:pt idx="18">
                  <c:v>3492.286919647053</c:v>
                </c:pt>
                <c:pt idx="19">
                  <c:v>3563.4939112793604</c:v>
                </c:pt>
                <c:pt idx="20">
                  <c:v>3636.152798409944</c:v>
                </c:pt>
                <c:pt idx="21">
                  <c:v>3710.2931848809203</c:v>
                </c:pt>
                <c:pt idx="22">
                  <c:v>3785.945278150486</c:v>
                </c:pt>
                <c:pt idx="23">
                  <c:v>3863.1399016005207</c:v>
                </c:pt>
                <c:pt idx="24">
                  <c:v>3941.908507095141</c:v>
                </c:pt>
                <c:pt idx="25">
                  <c:v>4022.2831877953204</c:v>
                </c:pt>
                <c:pt idx="26">
                  <c:v>4104.2966912347965</c:v>
                </c:pt>
                <c:pt idx="27">
                  <c:v>4187.982432662595</c:v>
                </c:pt>
                <c:pt idx="28">
                  <c:v>4273.374508657597</c:v>
                </c:pt>
                <c:pt idx="29">
                  <c:v>4360.507711020721</c:v>
                </c:pt>
                <c:pt idx="30">
                  <c:v>4449.417540950344</c:v>
                </c:pt>
              </c:numCache>
            </c:numRef>
          </c:val>
        </c:ser>
        <c:axId val="52706131"/>
        <c:axId val="4593132"/>
      </c:areaChart>
      <c:catAx>
        <c:axId val="52706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Čas (v letech)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93132"/>
        <c:crosses val="autoZero"/>
        <c:auto val="0"/>
        <c:lblOffset val="100"/>
        <c:tickLblSkip val="3"/>
        <c:noMultiLvlLbl val="0"/>
      </c:catAx>
      <c:valAx>
        <c:axId val="4593132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70613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Výše splátky v čase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2275"/>
          <c:w val="0.963"/>
          <c:h val="0.716"/>
        </c:manualLayout>
      </c:layout>
      <c:areaChart>
        <c:grouping val="stacked"/>
        <c:varyColors val="0"/>
        <c:ser>
          <c:idx val="2"/>
          <c:order val="0"/>
          <c:tx>
            <c:strRef>
              <c:f>pom_grafy!$H$13</c:f>
              <c:strCache>
                <c:ptCount val="1"/>
                <c:pt idx="0">
                  <c:v>Čistá splátka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pom_grafy!$A$14:$A$44</c:f>
              <c:numCache>
                <c:ptCount val="31"/>
                <c:pt idx="0">
                  <c:v>0</c:v>
                </c:pt>
                <c:pt idx="1">
                  <c:v>0.6666666666666666</c:v>
                </c:pt>
                <c:pt idx="2">
                  <c:v>1.3333333333333333</c:v>
                </c:pt>
                <c:pt idx="3">
                  <c:v>2</c:v>
                </c:pt>
                <c:pt idx="4">
                  <c:v>2.6666666666666665</c:v>
                </c:pt>
                <c:pt idx="5">
                  <c:v>3.333333333333333</c:v>
                </c:pt>
                <c:pt idx="6">
                  <c:v>3.9999999999999996</c:v>
                </c:pt>
                <c:pt idx="7">
                  <c:v>4.666666666666666</c:v>
                </c:pt>
                <c:pt idx="8">
                  <c:v>5.333333333333333</c:v>
                </c:pt>
                <c:pt idx="9">
                  <c:v>6</c:v>
                </c:pt>
                <c:pt idx="10">
                  <c:v>6.666666666666667</c:v>
                </c:pt>
                <c:pt idx="11">
                  <c:v>7.333333333333334</c:v>
                </c:pt>
                <c:pt idx="12">
                  <c:v>8</c:v>
                </c:pt>
                <c:pt idx="13">
                  <c:v>8.666666666666666</c:v>
                </c:pt>
                <c:pt idx="14">
                  <c:v>9.333333333333332</c:v>
                </c:pt>
                <c:pt idx="15">
                  <c:v>9.999999999999998</c:v>
                </c:pt>
                <c:pt idx="16">
                  <c:v>10.666666666666664</c:v>
                </c:pt>
                <c:pt idx="17">
                  <c:v>11.33333333333333</c:v>
                </c:pt>
                <c:pt idx="18">
                  <c:v>11.999999999999996</c:v>
                </c:pt>
                <c:pt idx="19">
                  <c:v>12.666666666666663</c:v>
                </c:pt>
                <c:pt idx="20">
                  <c:v>13.333333333333329</c:v>
                </c:pt>
                <c:pt idx="21">
                  <c:v>13.999999999999995</c:v>
                </c:pt>
                <c:pt idx="22">
                  <c:v>14.66666666666666</c:v>
                </c:pt>
                <c:pt idx="23">
                  <c:v>15.333333333333327</c:v>
                </c:pt>
                <c:pt idx="24">
                  <c:v>15.999999999999993</c:v>
                </c:pt>
                <c:pt idx="25">
                  <c:v>16.66666666666666</c:v>
                </c:pt>
                <c:pt idx="26">
                  <c:v>17.33333333333333</c:v>
                </c:pt>
                <c:pt idx="27">
                  <c:v>17.999999999999996</c:v>
                </c:pt>
                <c:pt idx="28">
                  <c:v>18.666666666666664</c:v>
                </c:pt>
                <c:pt idx="29">
                  <c:v>19.333333333333332</c:v>
                </c:pt>
                <c:pt idx="30">
                  <c:v>20</c:v>
                </c:pt>
              </c:numCache>
            </c:numRef>
          </c:cat>
          <c:val>
            <c:numRef>
              <c:f>pom_grafy!$H$14:$H$44</c:f>
              <c:numCache>
                <c:ptCount val="31"/>
                <c:pt idx="0">
                  <c:v>4146.264763172565</c:v>
                </c:pt>
                <c:pt idx="1">
                  <c:v>4153.691944537477</c:v>
                </c:pt>
                <c:pt idx="2">
                  <c:v>4161.270564559485</c:v>
                </c:pt>
                <c:pt idx="3">
                  <c:v>4169.003711040776</c:v>
                </c:pt>
                <c:pt idx="4">
                  <c:v>4176.894534743169</c:v>
                </c:pt>
                <c:pt idx="5">
                  <c:v>4184.9462506718555</c:v>
                </c:pt>
                <c:pt idx="6">
                  <c:v>4193.162139385295</c:v>
                </c:pt>
                <c:pt idx="7">
                  <c:v>4201.545548331845</c:v>
                </c:pt>
                <c:pt idx="8">
                  <c:v>4210.099893213626</c:v>
                </c:pt>
                <c:pt idx="9">
                  <c:v>4218.828659378203</c:v>
                </c:pt>
                <c:pt idx="10">
                  <c:v>4227.735403238641</c:v>
                </c:pt>
                <c:pt idx="11">
                  <c:v>4236.823753722513</c:v>
                </c:pt>
                <c:pt idx="12">
                  <c:v>4246.09741375046</c:v>
                </c:pt>
                <c:pt idx="13">
                  <c:v>4255.560161744889</c:v>
                </c:pt>
                <c:pt idx="14">
                  <c:v>4265.215853169444</c:v>
                </c:pt>
                <c:pt idx="15">
                  <c:v>4275.068422099854</c:v>
                </c:pt>
                <c:pt idx="16">
                  <c:v>4285.121882826822</c:v>
                </c:pt>
                <c:pt idx="17">
                  <c:v>4295.3803314915895</c:v>
                </c:pt>
                <c:pt idx="18">
                  <c:v>4305.847947754851</c:v>
                </c:pt>
                <c:pt idx="19">
                  <c:v>4316.528996499696</c:v>
                </c:pt>
                <c:pt idx="20">
                  <c:v>4327.427829569284</c:v>
                </c:pt>
                <c:pt idx="21">
                  <c:v>4338.548887539931</c:v>
                </c:pt>
                <c:pt idx="22">
                  <c:v>4349.896701530365</c:v>
                </c:pt>
                <c:pt idx="23">
                  <c:v>4361.475895047871</c:v>
                </c:pt>
                <c:pt idx="24">
                  <c:v>4373.291185872064</c:v>
                </c:pt>
                <c:pt idx="25">
                  <c:v>4385.347387977091</c:v>
                </c:pt>
                <c:pt idx="26">
                  <c:v>4397.649413493012</c:v>
                </c:pt>
                <c:pt idx="27">
                  <c:v>4410.2022747071815</c:v>
                </c:pt>
                <c:pt idx="28">
                  <c:v>4423.011086106432</c:v>
                </c:pt>
                <c:pt idx="29">
                  <c:v>4436.081066460901</c:v>
                </c:pt>
                <c:pt idx="30">
                  <c:v>4449.417540950344</c:v>
                </c:pt>
              </c:numCache>
            </c:numRef>
          </c:val>
        </c:ser>
        <c:ser>
          <c:idx val="1"/>
          <c:order val="1"/>
          <c:tx>
            <c:strRef>
              <c:f>pom_grafy!$G$13</c:f>
              <c:strCache>
                <c:ptCount val="1"/>
                <c:pt idx="0">
                  <c:v>Daňová úspora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pom_grafy!$A$14:$A$44</c:f>
              <c:numCache>
                <c:ptCount val="31"/>
                <c:pt idx="0">
                  <c:v>0</c:v>
                </c:pt>
                <c:pt idx="1">
                  <c:v>0.6666666666666666</c:v>
                </c:pt>
                <c:pt idx="2">
                  <c:v>1.3333333333333333</c:v>
                </c:pt>
                <c:pt idx="3">
                  <c:v>2</c:v>
                </c:pt>
                <c:pt idx="4">
                  <c:v>2.6666666666666665</c:v>
                </c:pt>
                <c:pt idx="5">
                  <c:v>3.333333333333333</c:v>
                </c:pt>
                <c:pt idx="6">
                  <c:v>3.9999999999999996</c:v>
                </c:pt>
                <c:pt idx="7">
                  <c:v>4.666666666666666</c:v>
                </c:pt>
                <c:pt idx="8">
                  <c:v>5.333333333333333</c:v>
                </c:pt>
                <c:pt idx="9">
                  <c:v>6</c:v>
                </c:pt>
                <c:pt idx="10">
                  <c:v>6.666666666666667</c:v>
                </c:pt>
                <c:pt idx="11">
                  <c:v>7.333333333333334</c:v>
                </c:pt>
                <c:pt idx="12">
                  <c:v>8</c:v>
                </c:pt>
                <c:pt idx="13">
                  <c:v>8.666666666666666</c:v>
                </c:pt>
                <c:pt idx="14">
                  <c:v>9.333333333333332</c:v>
                </c:pt>
                <c:pt idx="15">
                  <c:v>9.999999999999998</c:v>
                </c:pt>
                <c:pt idx="16">
                  <c:v>10.666666666666664</c:v>
                </c:pt>
                <c:pt idx="17">
                  <c:v>11.33333333333333</c:v>
                </c:pt>
                <c:pt idx="18">
                  <c:v>11.999999999999996</c:v>
                </c:pt>
                <c:pt idx="19">
                  <c:v>12.666666666666663</c:v>
                </c:pt>
                <c:pt idx="20">
                  <c:v>13.333333333333329</c:v>
                </c:pt>
                <c:pt idx="21">
                  <c:v>13.999999999999995</c:v>
                </c:pt>
                <c:pt idx="22">
                  <c:v>14.66666666666666</c:v>
                </c:pt>
                <c:pt idx="23">
                  <c:v>15.333333333333327</c:v>
                </c:pt>
                <c:pt idx="24">
                  <c:v>15.999999999999993</c:v>
                </c:pt>
                <c:pt idx="25">
                  <c:v>16.66666666666666</c:v>
                </c:pt>
                <c:pt idx="26">
                  <c:v>17.33333333333333</c:v>
                </c:pt>
                <c:pt idx="27">
                  <c:v>17.999999999999996</c:v>
                </c:pt>
                <c:pt idx="28">
                  <c:v>18.666666666666664</c:v>
                </c:pt>
                <c:pt idx="29">
                  <c:v>19.333333333333332</c:v>
                </c:pt>
                <c:pt idx="30">
                  <c:v>20</c:v>
                </c:pt>
              </c:numCache>
            </c:numRef>
          </c:cat>
          <c:val>
            <c:numRef>
              <c:f>pom_grafy!$G$14:$G$44</c:f>
              <c:numCache>
                <c:ptCount val="31"/>
                <c:pt idx="0">
                  <c:v>303.15277777777777</c:v>
                </c:pt>
                <c:pt idx="1">
                  <c:v>295.72559641286506</c:v>
                </c:pt>
                <c:pt idx="2">
                  <c:v>288.146976390857</c:v>
                </c:pt>
                <c:pt idx="3">
                  <c:v>280.4138299095665</c:v>
                </c:pt>
                <c:pt idx="4">
                  <c:v>272.5230062071728</c:v>
                </c:pt>
                <c:pt idx="5">
                  <c:v>264.47129027848837</c:v>
                </c:pt>
                <c:pt idx="6">
                  <c:v>256.2554015650496</c:v>
                </c:pt>
                <c:pt idx="7">
                  <c:v>247.87199261849977</c:v>
                </c:pt>
                <c:pt idx="8">
                  <c:v>239.3176477367183</c:v>
                </c:pt>
                <c:pt idx="9">
                  <c:v>230.58888157214076</c:v>
                </c:pt>
                <c:pt idx="10">
                  <c:v>221.682137711703</c:v>
                </c:pt>
                <c:pt idx="11">
                  <c:v>212.59378722783083</c:v>
                </c:pt>
                <c:pt idx="12">
                  <c:v>203.32012719988435</c:v>
                </c:pt>
                <c:pt idx="13">
                  <c:v>193.85737920545492</c:v>
                </c:pt>
                <c:pt idx="14">
                  <c:v>184.20168778090041</c:v>
                </c:pt>
                <c:pt idx="15">
                  <c:v>174.34911885049019</c:v>
                </c:pt>
                <c:pt idx="16">
                  <c:v>164.2956581235218</c:v>
                </c:pt>
                <c:pt idx="17">
                  <c:v>154.03720945875446</c:v>
                </c:pt>
                <c:pt idx="18">
                  <c:v>143.56959319549364</c:v>
                </c:pt>
                <c:pt idx="19">
                  <c:v>132.88854445064754</c:v>
                </c:pt>
                <c:pt idx="20">
                  <c:v>121.98971138105999</c:v>
                </c:pt>
                <c:pt idx="21">
                  <c:v>110.86865341041353</c:v>
                </c:pt>
                <c:pt idx="22">
                  <c:v>99.52083941997867</c:v>
                </c:pt>
                <c:pt idx="23">
                  <c:v>87.9416459024735</c:v>
                </c:pt>
                <c:pt idx="24">
                  <c:v>76.12635507828045</c:v>
                </c:pt>
                <c:pt idx="25">
                  <c:v>64.07015297325354</c:v>
                </c:pt>
                <c:pt idx="26">
                  <c:v>51.768127457332085</c:v>
                </c:pt>
                <c:pt idx="27">
                  <c:v>39.21526624316244</c:v>
                </c:pt>
                <c:pt idx="28">
                  <c:v>26.406454843911998</c:v>
                </c:pt>
                <c:pt idx="29">
                  <c:v>13.336474489443406</c:v>
                </c:pt>
                <c:pt idx="30">
                  <c:v>3.8600218330328864E-14</c:v>
                </c:pt>
              </c:numCache>
            </c:numRef>
          </c:val>
        </c:ser>
        <c:ser>
          <c:idx val="0"/>
          <c:order val="2"/>
          <c:tx>
            <c:strRef>
              <c:f>pom_grafy!$F$13</c:f>
              <c:strCache>
                <c:ptCount val="1"/>
                <c:pt idx="0">
                  <c:v>Státní podpora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pom_grafy!$A$14:$A$44</c:f>
              <c:numCache>
                <c:ptCount val="31"/>
                <c:pt idx="0">
                  <c:v>0</c:v>
                </c:pt>
                <c:pt idx="1">
                  <c:v>0.6666666666666666</c:v>
                </c:pt>
                <c:pt idx="2">
                  <c:v>1.3333333333333333</c:v>
                </c:pt>
                <c:pt idx="3">
                  <c:v>2</c:v>
                </c:pt>
                <c:pt idx="4">
                  <c:v>2.6666666666666665</c:v>
                </c:pt>
                <c:pt idx="5">
                  <c:v>3.333333333333333</c:v>
                </c:pt>
                <c:pt idx="6">
                  <c:v>3.9999999999999996</c:v>
                </c:pt>
                <c:pt idx="7">
                  <c:v>4.666666666666666</c:v>
                </c:pt>
                <c:pt idx="8">
                  <c:v>5.333333333333333</c:v>
                </c:pt>
                <c:pt idx="9">
                  <c:v>6</c:v>
                </c:pt>
                <c:pt idx="10">
                  <c:v>6.666666666666667</c:v>
                </c:pt>
                <c:pt idx="11">
                  <c:v>7.333333333333334</c:v>
                </c:pt>
                <c:pt idx="12">
                  <c:v>8</c:v>
                </c:pt>
                <c:pt idx="13">
                  <c:v>8.666666666666666</c:v>
                </c:pt>
                <c:pt idx="14">
                  <c:v>9.333333333333332</c:v>
                </c:pt>
                <c:pt idx="15">
                  <c:v>9.999999999999998</c:v>
                </c:pt>
                <c:pt idx="16">
                  <c:v>10.666666666666664</c:v>
                </c:pt>
                <c:pt idx="17">
                  <c:v>11.33333333333333</c:v>
                </c:pt>
                <c:pt idx="18">
                  <c:v>11.999999999999996</c:v>
                </c:pt>
                <c:pt idx="19">
                  <c:v>12.666666666666663</c:v>
                </c:pt>
                <c:pt idx="20">
                  <c:v>13.333333333333329</c:v>
                </c:pt>
                <c:pt idx="21">
                  <c:v>13.999999999999995</c:v>
                </c:pt>
                <c:pt idx="22">
                  <c:v>14.66666666666666</c:v>
                </c:pt>
                <c:pt idx="23">
                  <c:v>15.333333333333327</c:v>
                </c:pt>
                <c:pt idx="24">
                  <c:v>15.999999999999993</c:v>
                </c:pt>
                <c:pt idx="25">
                  <c:v>16.66666666666666</c:v>
                </c:pt>
                <c:pt idx="26">
                  <c:v>17.33333333333333</c:v>
                </c:pt>
                <c:pt idx="27">
                  <c:v>17.999999999999996</c:v>
                </c:pt>
                <c:pt idx="28">
                  <c:v>18.666666666666664</c:v>
                </c:pt>
                <c:pt idx="29">
                  <c:v>19.333333333333332</c:v>
                </c:pt>
                <c:pt idx="30">
                  <c:v>20</c:v>
                </c:pt>
              </c:numCache>
            </c:numRef>
          </c:cat>
          <c:val>
            <c:numRef>
              <c:f>pom_grafy!$F$14:$F$44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41338189"/>
        <c:axId val="36499382"/>
      </c:areaChart>
      <c:catAx>
        <c:axId val="41338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Čas (v letech)</a:t>
                </a:r>
              </a:p>
            </c:rich>
          </c:tx>
          <c:layout>
            <c:manualLayout>
              <c:xMode val="factor"/>
              <c:yMode val="factor"/>
              <c:x val="0.009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499382"/>
        <c:crosses val="autoZero"/>
        <c:auto val="0"/>
        <c:lblOffset val="100"/>
        <c:tickLblSkip val="3"/>
        <c:noMultiLvlLbl val="0"/>
      </c:catAx>
      <c:valAx>
        <c:axId val="36499382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33818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title>
    <c:plotArea>
      <c:layout>
        <c:manualLayout>
          <c:xMode val="edge"/>
          <c:yMode val="edge"/>
          <c:x val="0.059"/>
          <c:y val="0.146"/>
          <c:w val="0.92275"/>
          <c:h val="0.74775"/>
        </c:manualLayout>
      </c:layout>
      <c:areaChart>
        <c:grouping val="stacked"/>
        <c:varyColors val="0"/>
        <c:ser>
          <c:idx val="0"/>
          <c:order val="0"/>
          <c:tx>
            <c:strRef>
              <c:f>pom_grafy!$I$13</c:f>
              <c:strCache>
                <c:ptCount val="1"/>
                <c:pt idx="0">
                  <c:v>Reálná hodnota splátky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pom_grafy!$A$14:$A$44</c:f>
              <c:numCache>
                <c:ptCount val="31"/>
                <c:pt idx="0">
                  <c:v>0</c:v>
                </c:pt>
                <c:pt idx="1">
                  <c:v>0.6666666666666666</c:v>
                </c:pt>
                <c:pt idx="2">
                  <c:v>1.3333333333333333</c:v>
                </c:pt>
                <c:pt idx="3">
                  <c:v>2</c:v>
                </c:pt>
                <c:pt idx="4">
                  <c:v>2.6666666666666665</c:v>
                </c:pt>
                <c:pt idx="5">
                  <c:v>3.333333333333333</c:v>
                </c:pt>
                <c:pt idx="6">
                  <c:v>3.9999999999999996</c:v>
                </c:pt>
                <c:pt idx="7">
                  <c:v>4.666666666666666</c:v>
                </c:pt>
                <c:pt idx="8">
                  <c:v>5.333333333333333</c:v>
                </c:pt>
                <c:pt idx="9">
                  <c:v>6</c:v>
                </c:pt>
                <c:pt idx="10">
                  <c:v>6.666666666666667</c:v>
                </c:pt>
                <c:pt idx="11">
                  <c:v>7.333333333333334</c:v>
                </c:pt>
                <c:pt idx="12">
                  <c:v>8</c:v>
                </c:pt>
                <c:pt idx="13">
                  <c:v>8.666666666666666</c:v>
                </c:pt>
                <c:pt idx="14">
                  <c:v>9.333333333333332</c:v>
                </c:pt>
                <c:pt idx="15">
                  <c:v>9.999999999999998</c:v>
                </c:pt>
                <c:pt idx="16">
                  <c:v>10.666666666666664</c:v>
                </c:pt>
                <c:pt idx="17">
                  <c:v>11.33333333333333</c:v>
                </c:pt>
                <c:pt idx="18">
                  <c:v>11.999999999999996</c:v>
                </c:pt>
                <c:pt idx="19">
                  <c:v>12.666666666666663</c:v>
                </c:pt>
                <c:pt idx="20">
                  <c:v>13.333333333333329</c:v>
                </c:pt>
                <c:pt idx="21">
                  <c:v>13.999999999999995</c:v>
                </c:pt>
                <c:pt idx="22">
                  <c:v>14.66666666666666</c:v>
                </c:pt>
                <c:pt idx="23">
                  <c:v>15.333333333333327</c:v>
                </c:pt>
                <c:pt idx="24">
                  <c:v>15.999999999999993</c:v>
                </c:pt>
                <c:pt idx="25">
                  <c:v>16.66666666666666</c:v>
                </c:pt>
                <c:pt idx="26">
                  <c:v>17.33333333333333</c:v>
                </c:pt>
                <c:pt idx="27">
                  <c:v>17.999999999999996</c:v>
                </c:pt>
                <c:pt idx="28">
                  <c:v>18.666666666666664</c:v>
                </c:pt>
                <c:pt idx="29">
                  <c:v>19.333333333333332</c:v>
                </c:pt>
                <c:pt idx="30">
                  <c:v>20</c:v>
                </c:pt>
              </c:numCache>
            </c:numRef>
          </c:cat>
          <c:val>
            <c:numRef>
              <c:f>pom_grafy!$I$14:$I$44</c:f>
              <c:numCache>
                <c:ptCount val="31"/>
                <c:pt idx="0">
                  <c:v>4146.264763172565</c:v>
                </c:pt>
                <c:pt idx="1">
                  <c:v>4099.216313616009</c:v>
                </c:pt>
                <c:pt idx="2">
                  <c:v>4052.836266589611</c:v>
                </c:pt>
                <c:pt idx="3">
                  <c:v>4007.1162159177006</c:v>
                </c:pt>
                <c:pt idx="4">
                  <c:v>3962.047868193602</c:v>
                </c:pt>
                <c:pt idx="5">
                  <c:v>3917.6230413183457</c:v>
                </c:pt>
                <c:pt idx="6">
                  <c:v>3873.8336630586573</c:v>
                </c:pt>
                <c:pt idx="7">
                  <c:v>3830.6717696240007</c:v>
                </c:pt>
                <c:pt idx="8">
                  <c:v>3788.129504262395</c:v>
                </c:pt>
                <c:pt idx="9">
                  <c:v>3746.1991158747824</c:v>
                </c:pt>
                <c:pt idx="10">
                  <c:v>3704.8729576476876</c:v>
                </c:pt>
                <c:pt idx="11">
                  <c:v>3664.1434857039467</c:v>
                </c:pt>
                <c:pt idx="12">
                  <c:v>3624.003257771253</c:v>
                </c:pt>
                <c:pt idx="13">
                  <c:v>3584.4449318683014</c:v>
                </c:pt>
                <c:pt idx="14">
                  <c:v>3545.461265008295</c:v>
                </c:pt>
                <c:pt idx="15">
                  <c:v>3507.0451119195773</c:v>
                </c:pt>
                <c:pt idx="16">
                  <c:v>3469.189423783191</c:v>
                </c:pt>
                <c:pt idx="17">
                  <c:v>3431.8872469871158</c:v>
                </c:pt>
                <c:pt idx="18">
                  <c:v>3395.13172189698</c:v>
                </c:pt>
                <c:pt idx="19">
                  <c:v>3358.916081643038</c:v>
                </c:pt>
                <c:pt idx="20">
                  <c:v>3323.233650923188</c:v>
                </c:pt>
                <c:pt idx="21">
                  <c:v>3288.0778448218202</c:v>
                </c:pt>
                <c:pt idx="22">
                  <c:v>3253.442167644304</c:v>
                </c:pt>
                <c:pt idx="23">
                  <c:v>3219.3202117668948</c:v>
                </c:pt>
                <c:pt idx="24">
                  <c:v>3185.7056565018643</c:v>
                </c:pt>
                <c:pt idx="25">
                  <c:v>3152.592266977661</c:v>
                </c:pt>
                <c:pt idx="26">
                  <c:v>3119.9738930338917</c:v>
                </c:pt>
                <c:pt idx="27">
                  <c:v>3087.8444681309493</c:v>
                </c:pt>
                <c:pt idx="28">
                  <c:v>3056.1980082740724</c:v>
                </c:pt>
                <c:pt idx="29">
                  <c:v>3025.0286109516733</c:v>
                </c:pt>
                <c:pt idx="30">
                  <c:v>2994.3304540877293</c:v>
                </c:pt>
              </c:numCache>
            </c:numRef>
          </c:val>
        </c:ser>
        <c:axId val="60058983"/>
        <c:axId val="3659936"/>
      </c:areaChart>
      <c:catAx>
        <c:axId val="600589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Čas (v letech)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59936"/>
        <c:crosses val="autoZero"/>
        <c:auto val="0"/>
        <c:lblOffset val="100"/>
        <c:tickLblSkip val="3"/>
        <c:noMultiLvlLbl val="0"/>
      </c:catAx>
      <c:valAx>
        <c:axId val="365993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Splátka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05898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6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133350</xdr:colOff>
      <xdr:row>43</xdr:row>
      <xdr:rowOff>133350</xdr:rowOff>
    </xdr:from>
    <xdr:to>
      <xdr:col>5</xdr:col>
      <xdr:colOff>66675</xdr:colOff>
      <xdr:row>46</xdr:row>
      <xdr:rowOff>57150</xdr:rowOff>
    </xdr:to>
    <xdr:pic>
      <xdr:nvPicPr>
        <xdr:cNvPr id="1" name="obráze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8496300"/>
          <a:ext cx="12858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</xdr:row>
      <xdr:rowOff>28575</xdr:rowOff>
    </xdr:from>
    <xdr:to>
      <xdr:col>12</xdr:col>
      <xdr:colOff>85725</xdr:colOff>
      <xdr:row>11</xdr:row>
      <xdr:rowOff>123825</xdr:rowOff>
    </xdr:to>
    <xdr:graphicFrame>
      <xdr:nvGraphicFramePr>
        <xdr:cNvPr id="1" name="Chart 1"/>
        <xdr:cNvGraphicFramePr/>
      </xdr:nvGraphicFramePr>
      <xdr:xfrm>
        <a:off x="3876675" y="323850"/>
        <a:ext cx="5305425" cy="173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21</xdr:row>
      <xdr:rowOff>76200</xdr:rowOff>
    </xdr:from>
    <xdr:to>
      <xdr:col>11</xdr:col>
      <xdr:colOff>600075</xdr:colOff>
      <xdr:row>32</xdr:row>
      <xdr:rowOff>47625</xdr:rowOff>
    </xdr:to>
    <xdr:graphicFrame>
      <xdr:nvGraphicFramePr>
        <xdr:cNvPr id="2" name="Chart 2"/>
        <xdr:cNvGraphicFramePr/>
      </xdr:nvGraphicFramePr>
      <xdr:xfrm>
        <a:off x="3895725" y="3648075"/>
        <a:ext cx="5105400" cy="177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85725</xdr:colOff>
      <xdr:row>11</xdr:row>
      <xdr:rowOff>0</xdr:rowOff>
    </xdr:from>
    <xdr:to>
      <xdr:col>12</xdr:col>
      <xdr:colOff>28575</xdr:colOff>
      <xdr:row>21</xdr:row>
      <xdr:rowOff>95250</xdr:rowOff>
    </xdr:to>
    <xdr:graphicFrame>
      <xdr:nvGraphicFramePr>
        <xdr:cNvPr id="3" name="Chart 3"/>
        <xdr:cNvGraphicFramePr/>
      </xdr:nvGraphicFramePr>
      <xdr:xfrm>
        <a:off x="3895725" y="1933575"/>
        <a:ext cx="5229225" cy="1733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10</xdr:col>
      <xdr:colOff>466725</xdr:colOff>
      <xdr:row>30</xdr:row>
      <xdr:rowOff>152400</xdr:rowOff>
    </xdr:from>
    <xdr:to>
      <xdr:col>12</xdr:col>
      <xdr:colOff>361950</xdr:colOff>
      <xdr:row>33</xdr:row>
      <xdr:rowOff>152400</xdr:rowOff>
    </xdr:to>
    <xdr:pic>
      <xdr:nvPicPr>
        <xdr:cNvPr id="4" name="obrázek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72450" y="5200650"/>
          <a:ext cx="1285875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53</xdr:row>
      <xdr:rowOff>104775</xdr:rowOff>
    </xdr:from>
    <xdr:to>
      <xdr:col>8</xdr:col>
      <xdr:colOff>390525</xdr:colOff>
      <xdr:row>74</xdr:row>
      <xdr:rowOff>104775</xdr:rowOff>
    </xdr:to>
    <xdr:graphicFrame>
      <xdr:nvGraphicFramePr>
        <xdr:cNvPr id="1" name="Chart 1"/>
        <xdr:cNvGraphicFramePr/>
      </xdr:nvGraphicFramePr>
      <xdr:xfrm>
        <a:off x="257175" y="9267825"/>
        <a:ext cx="58197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79</xdr:row>
      <xdr:rowOff>57150</xdr:rowOff>
    </xdr:from>
    <xdr:to>
      <xdr:col>8</xdr:col>
      <xdr:colOff>514350</xdr:colOff>
      <xdr:row>99</xdr:row>
      <xdr:rowOff>142875</xdr:rowOff>
    </xdr:to>
    <xdr:graphicFrame>
      <xdr:nvGraphicFramePr>
        <xdr:cNvPr id="2" name="Chart 2"/>
        <xdr:cNvGraphicFramePr/>
      </xdr:nvGraphicFramePr>
      <xdr:xfrm>
        <a:off x="228600" y="13430250"/>
        <a:ext cx="5972175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109</xdr:row>
      <xdr:rowOff>28575</xdr:rowOff>
    </xdr:from>
    <xdr:to>
      <xdr:col>8</xdr:col>
      <xdr:colOff>409575</xdr:colOff>
      <xdr:row>132</xdr:row>
      <xdr:rowOff>38100</xdr:rowOff>
    </xdr:to>
    <xdr:graphicFrame>
      <xdr:nvGraphicFramePr>
        <xdr:cNvPr id="3" name="Chart 3"/>
        <xdr:cNvGraphicFramePr/>
      </xdr:nvGraphicFramePr>
      <xdr:xfrm>
        <a:off x="114300" y="18259425"/>
        <a:ext cx="5981700" cy="3733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139</xdr:row>
      <xdr:rowOff>85725</xdr:rowOff>
    </xdr:from>
    <xdr:to>
      <xdr:col>8</xdr:col>
      <xdr:colOff>438150</xdr:colOff>
      <xdr:row>157</xdr:row>
      <xdr:rowOff>123825</xdr:rowOff>
    </xdr:to>
    <xdr:graphicFrame>
      <xdr:nvGraphicFramePr>
        <xdr:cNvPr id="4" name="Chart 4"/>
        <xdr:cNvGraphicFramePr/>
      </xdr:nvGraphicFramePr>
      <xdr:xfrm>
        <a:off x="133350" y="23174325"/>
        <a:ext cx="5991225" cy="2952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oleObject" Target="../embeddings/oleObject_4_4.bin" /><Relationship Id="rId6" Type="http://schemas.openxmlformats.org/officeDocument/2006/relationships/oleObject" Target="../embeddings/oleObject_4_5.bin" /><Relationship Id="rId7" Type="http://schemas.openxmlformats.org/officeDocument/2006/relationships/oleObject" Target="../embeddings/oleObject_4_6.bin" /><Relationship Id="rId8" Type="http://schemas.openxmlformats.org/officeDocument/2006/relationships/vmlDrawing" Target="../drawings/vmlDrawing5.vml" /><Relationship Id="rId9" Type="http://schemas.openxmlformats.org/officeDocument/2006/relationships/drawing" Target="../drawings/drawing3.xml" /><Relationship Id="rId10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J39" sqref="J39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3"/>
  <legacyDrawing r:id="rId2"/>
  <oleObjects>
    <oleObject progId="Word.Document.8" shapeId="1505456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D14" sqref="D14"/>
    </sheetView>
  </sheetViews>
  <sheetFormatPr defaultColWidth="9.00390625" defaultRowHeight="12.75"/>
  <cols>
    <col min="1" max="1" width="39.00390625" style="28" customWidth="1"/>
    <col min="2" max="16384" width="9.125" style="28" customWidth="1"/>
  </cols>
  <sheetData>
    <row r="1" spans="4:7" ht="15">
      <c r="D1" s="28">
        <f>D2+4</f>
        <v>20</v>
      </c>
      <c r="G1" s="140" t="s">
        <v>193</v>
      </c>
    </row>
    <row r="2" spans="1:7" ht="15">
      <c r="A2" s="30"/>
      <c r="B2" s="31">
        <v>1</v>
      </c>
      <c r="D2" s="32">
        <v>16</v>
      </c>
      <c r="F2" s="28">
        <v>2</v>
      </c>
      <c r="G2" s="39">
        <f>IF(F2=1,1,0)+IF(F2=2,3,0)+IF(F2=3,5,0)+IF(F2=4,10,0)+IF(F2=5,15,0)</f>
        <v>3</v>
      </c>
    </row>
    <row r="3" spans="1:6" ht="15">
      <c r="A3" s="33" t="s">
        <v>137</v>
      </c>
      <c r="B3" s="34"/>
      <c r="D3" s="35" t="s">
        <v>138</v>
      </c>
      <c r="F3" s="28" t="s">
        <v>158</v>
      </c>
    </row>
    <row r="4" spans="1:6" ht="15">
      <c r="A4" s="36" t="s">
        <v>139</v>
      </c>
      <c r="B4" s="29"/>
      <c r="D4" s="35">
        <v>5</v>
      </c>
      <c r="F4" s="28">
        <v>1</v>
      </c>
    </row>
    <row r="5" spans="1:6" ht="15">
      <c r="A5" s="37"/>
      <c r="B5" s="37"/>
      <c r="D5" s="35">
        <v>6</v>
      </c>
      <c r="F5" s="28">
        <v>3</v>
      </c>
    </row>
    <row r="6" spans="1:6" ht="15">
      <c r="A6" s="37"/>
      <c r="B6" s="37"/>
      <c r="D6" s="35">
        <v>7</v>
      </c>
      <c r="F6" s="28">
        <v>5</v>
      </c>
    </row>
    <row r="7" spans="1:6" ht="15.75">
      <c r="A7" s="38" t="s">
        <v>140</v>
      </c>
      <c r="B7" s="31">
        <v>2</v>
      </c>
      <c r="D7" s="35">
        <v>8</v>
      </c>
      <c r="F7" s="28">
        <v>10</v>
      </c>
    </row>
    <row r="8" spans="1:6" ht="15">
      <c r="A8" s="33" t="s">
        <v>141</v>
      </c>
      <c r="B8" s="34"/>
      <c r="D8" s="35">
        <v>9</v>
      </c>
      <c r="F8" s="28">
        <v>15</v>
      </c>
    </row>
    <row r="9" spans="1:4" ht="15">
      <c r="A9" s="36" t="s">
        <v>142</v>
      </c>
      <c r="B9" s="29"/>
      <c r="D9" s="35">
        <v>10</v>
      </c>
    </row>
    <row r="10" spans="4:6" ht="15">
      <c r="D10" s="35">
        <v>11</v>
      </c>
      <c r="F10" s="28">
        <v>2</v>
      </c>
    </row>
    <row r="11" spans="4:6" ht="15">
      <c r="D11" s="35">
        <v>12</v>
      </c>
      <c r="F11" s="28" t="s">
        <v>141</v>
      </c>
    </row>
    <row r="12" spans="1:6" ht="15.75">
      <c r="A12" s="38" t="s">
        <v>27</v>
      </c>
      <c r="B12" s="31">
        <v>1</v>
      </c>
      <c r="D12" s="35">
        <v>13</v>
      </c>
      <c r="F12" s="28" t="s">
        <v>142</v>
      </c>
    </row>
    <row r="13" spans="1:4" ht="15">
      <c r="A13" s="33" t="s">
        <v>141</v>
      </c>
      <c r="B13" s="34"/>
      <c r="D13" s="35">
        <v>14</v>
      </c>
    </row>
    <row r="14" spans="1:4" ht="15">
      <c r="A14" s="36" t="s">
        <v>142</v>
      </c>
      <c r="B14" s="29"/>
      <c r="D14" s="35">
        <v>15</v>
      </c>
    </row>
    <row r="15" ht="15">
      <c r="D15" s="35">
        <v>16</v>
      </c>
    </row>
    <row r="16" ht="15">
      <c r="D16" s="35">
        <v>17</v>
      </c>
    </row>
    <row r="17" ht="15">
      <c r="D17" s="35">
        <v>18</v>
      </c>
    </row>
    <row r="18" ht="15">
      <c r="D18" s="35">
        <v>19</v>
      </c>
    </row>
    <row r="19" ht="15">
      <c r="D19" s="35">
        <v>20</v>
      </c>
    </row>
    <row r="20" spans="1:4" ht="15">
      <c r="A20" s="37"/>
      <c r="B20" s="37"/>
      <c r="D20" s="35">
        <v>21</v>
      </c>
    </row>
    <row r="21" spans="1:4" ht="15">
      <c r="A21" s="37"/>
      <c r="B21" s="37"/>
      <c r="D21" s="35">
        <v>22</v>
      </c>
    </row>
    <row r="22" spans="1:4" ht="15">
      <c r="A22" s="37"/>
      <c r="B22" s="37"/>
      <c r="D22" s="35">
        <v>23</v>
      </c>
    </row>
    <row r="23" ht="15">
      <c r="D23" s="35">
        <v>24</v>
      </c>
    </row>
    <row r="24" ht="15">
      <c r="D24" s="39">
        <v>25</v>
      </c>
    </row>
    <row r="25" ht="15">
      <c r="D25" s="28">
        <v>26</v>
      </c>
    </row>
    <row r="26" ht="15">
      <c r="D26" s="28">
        <v>27</v>
      </c>
    </row>
    <row r="27" ht="15">
      <c r="D27" s="28">
        <v>28</v>
      </c>
    </row>
    <row r="28" ht="15">
      <c r="D28" s="28">
        <v>29</v>
      </c>
    </row>
    <row r="29" ht="15">
      <c r="D29" s="28">
        <v>30</v>
      </c>
    </row>
    <row r="34" spans="1:2" ht="15">
      <c r="A34" s="37"/>
      <c r="B34" s="37"/>
    </row>
    <row r="35" spans="1:2" ht="15">
      <c r="A35" s="37"/>
      <c r="B35" s="37"/>
    </row>
    <row r="36" spans="1:2" ht="15">
      <c r="A36" s="37"/>
      <c r="B36" s="37"/>
    </row>
  </sheetData>
  <printOptions/>
  <pageMargins left="0.75" right="0.75" top="1" bottom="1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1:E5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13.875" style="69" customWidth="1"/>
    <col min="2" max="2" width="22.125" style="69" customWidth="1"/>
    <col min="3" max="3" width="2.375" style="69" customWidth="1"/>
    <col min="4" max="4" width="13.625" style="69" customWidth="1"/>
    <col min="5" max="5" width="33.375" style="69" customWidth="1"/>
    <col min="6" max="6" width="6.00390625" style="69" customWidth="1"/>
    <col min="7" max="7" width="4.875" style="69" customWidth="1"/>
    <col min="8" max="16384" width="9.125" style="69" customWidth="1"/>
  </cols>
  <sheetData>
    <row r="11" spans="1:5" ht="44.25">
      <c r="A11" s="105" t="s">
        <v>0</v>
      </c>
      <c r="B11" s="106"/>
      <c r="C11" s="106"/>
      <c r="D11" s="106"/>
      <c r="E11" s="106"/>
    </row>
    <row r="12" spans="1:5" ht="44.25">
      <c r="A12" s="105" t="s">
        <v>1</v>
      </c>
      <c r="B12" s="106"/>
      <c r="C12" s="106"/>
      <c r="D12" s="106"/>
      <c r="E12" s="106"/>
    </row>
    <row r="23" ht="12.75"/>
    <row r="24" ht="12.75"/>
    <row r="25" ht="12.75"/>
    <row r="26" ht="12.75"/>
    <row r="27" ht="12.75"/>
    <row r="40" ht="13.5" thickBot="1"/>
    <row r="41" spans="1:5" ht="12.75">
      <c r="A41" s="107" t="s">
        <v>2</v>
      </c>
      <c r="B41" s="108"/>
      <c r="C41" s="97"/>
      <c r="D41" s="107" t="s">
        <v>3</v>
      </c>
      <c r="E41" s="108"/>
    </row>
    <row r="42" spans="1:5" ht="12.75">
      <c r="A42" s="92" t="s">
        <v>4</v>
      </c>
      <c r="B42" s="93"/>
      <c r="C42" s="71"/>
      <c r="D42" s="92" t="s">
        <v>4</v>
      </c>
      <c r="E42" s="93"/>
    </row>
    <row r="43" spans="1:5" ht="16.5" customHeight="1">
      <c r="A43" s="92" t="s">
        <v>5</v>
      </c>
      <c r="B43" s="93"/>
      <c r="C43" s="71"/>
      <c r="D43" s="92" t="s">
        <v>6</v>
      </c>
      <c r="E43" s="93"/>
    </row>
    <row r="44" spans="1:5" ht="12.75">
      <c r="A44" s="92" t="s">
        <v>7</v>
      </c>
      <c r="B44" s="93"/>
      <c r="C44" s="71"/>
      <c r="D44" s="92" t="s">
        <v>8</v>
      </c>
      <c r="E44" s="93"/>
    </row>
    <row r="45" spans="1:5" ht="12.75">
      <c r="A45" s="92" t="s">
        <v>9</v>
      </c>
      <c r="B45" s="94"/>
      <c r="C45" s="71"/>
      <c r="D45" s="92" t="s">
        <v>9</v>
      </c>
      <c r="E45" s="94"/>
    </row>
    <row r="46" spans="1:5" ht="13.5" thickBot="1">
      <c r="A46" s="95" t="s">
        <v>10</v>
      </c>
      <c r="B46" s="96"/>
      <c r="C46" s="71"/>
      <c r="D46" s="95" t="s">
        <v>10</v>
      </c>
      <c r="E46" s="96"/>
    </row>
    <row r="48" s="88" customFormat="1" ht="11.25">
      <c r="A48" s="88" t="s">
        <v>11</v>
      </c>
    </row>
    <row r="49" s="88" customFormat="1" ht="11.25">
      <c r="A49" s="88" t="s">
        <v>12</v>
      </c>
    </row>
    <row r="50" spans="1:5" s="88" customFormat="1" ht="11.25">
      <c r="A50" s="88" t="s">
        <v>13</v>
      </c>
      <c r="C50" s="101"/>
      <c r="E50" s="102"/>
    </row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3"/>
  <headerFooter alignWithMargins="0">
    <oddFooter>&amp;RDatum zpracování  :  &amp;D &amp;T</oddFooter>
  </headerFooter>
  <legacyDrawing r:id="rId2"/>
  <oleObjects>
    <oleObject progId="MSPhotoEd.3" shapeId="568922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G43"/>
  <sheetViews>
    <sheetView showGridLines="0" tabSelected="1" workbookViewId="0" topLeftCell="A1">
      <selection activeCell="D7" sqref="D7"/>
    </sheetView>
  </sheetViews>
  <sheetFormatPr defaultColWidth="9.00390625" defaultRowHeight="12.75"/>
  <cols>
    <col min="1" max="2" width="9.25390625" style="28" customWidth="1"/>
    <col min="3" max="3" width="19.25390625" style="28" customWidth="1"/>
    <col min="4" max="5" width="17.75390625" style="28" customWidth="1"/>
    <col min="6" max="7" width="8.75390625" style="37" customWidth="1"/>
    <col min="8" max="8" width="8.75390625" style="28" customWidth="1"/>
    <col min="9" max="16384" width="9.125" style="28" customWidth="1"/>
  </cols>
  <sheetData>
    <row r="1" ht="9" customHeight="1"/>
    <row r="2" spans="1:5" ht="24.75" customHeight="1">
      <c r="A2" s="109" t="s">
        <v>14</v>
      </c>
      <c r="B2" s="109"/>
      <c r="C2" s="109"/>
      <c r="D2" s="109"/>
      <c r="E2" s="109"/>
    </row>
    <row r="3" spans="1:7" ht="23.25" customHeight="1">
      <c r="A3" s="112" t="s">
        <v>15</v>
      </c>
      <c r="B3" s="112"/>
      <c r="C3" s="112"/>
      <c r="D3" s="112"/>
      <c r="E3" s="112"/>
      <c r="F3" s="76"/>
      <c r="G3" s="76"/>
    </row>
    <row r="4" spans="1:7" ht="9.75" customHeight="1" thickBot="1">
      <c r="A4" s="74"/>
      <c r="B4" s="74"/>
      <c r="C4" s="74"/>
      <c r="D4" s="74"/>
      <c r="E4" s="74"/>
      <c r="F4" s="76"/>
      <c r="G4" s="76"/>
    </row>
    <row r="5" spans="1:7" ht="16.5" customHeight="1" thickBot="1">
      <c r="A5" s="81" t="s">
        <v>16</v>
      </c>
      <c r="B5" s="82"/>
      <c r="C5" s="82"/>
      <c r="D5" s="82"/>
      <c r="E5" s="82"/>
      <c r="F5" s="76"/>
      <c r="G5" s="76"/>
    </row>
    <row r="6" spans="1:7" ht="9" customHeight="1">
      <c r="A6" s="75"/>
      <c r="B6" s="76"/>
      <c r="C6" s="76"/>
      <c r="D6" s="76"/>
      <c r="E6" s="76"/>
      <c r="F6" s="76"/>
      <c r="G6" s="76"/>
    </row>
    <row r="7" spans="1:7" ht="15">
      <c r="A7" s="77" t="s">
        <v>17</v>
      </c>
      <c r="B7" s="77"/>
      <c r="C7" s="77"/>
      <c r="D7" s="78">
        <v>1500000</v>
      </c>
      <c r="E7" s="74"/>
      <c r="F7" s="76"/>
      <c r="G7" s="76"/>
    </row>
    <row r="8" spans="1:7" ht="15">
      <c r="A8" s="77" t="s">
        <v>18</v>
      </c>
      <c r="B8" s="77"/>
      <c r="C8" s="77"/>
      <c r="D8" s="78">
        <v>700000</v>
      </c>
      <c r="E8" s="74"/>
      <c r="F8" s="76"/>
      <c r="G8" s="76"/>
    </row>
    <row r="9" spans="1:7" ht="15">
      <c r="A9" s="113" t="s">
        <v>19</v>
      </c>
      <c r="B9" s="114"/>
      <c r="C9" s="114"/>
      <c r="D9" s="79">
        <f>D7-D8</f>
        <v>800000</v>
      </c>
      <c r="E9" s="74"/>
      <c r="F9" s="76"/>
      <c r="G9" s="76"/>
    </row>
    <row r="10" spans="1:7" ht="15">
      <c r="A10" s="74"/>
      <c r="B10" s="74"/>
      <c r="C10" s="74"/>
      <c r="D10" s="74"/>
      <c r="E10" s="74"/>
      <c r="F10" s="76"/>
      <c r="G10" s="76"/>
    </row>
    <row r="11" spans="1:7" ht="15">
      <c r="A11" s="77" t="s">
        <v>20</v>
      </c>
      <c r="B11" s="77"/>
      <c r="C11" s="77"/>
      <c r="D11" s="78">
        <v>1600000</v>
      </c>
      <c r="E11" s="74"/>
      <c r="F11" s="76"/>
      <c r="G11" s="76"/>
    </row>
    <row r="12" spans="1:7" ht="15">
      <c r="A12" s="77" t="s">
        <v>21</v>
      </c>
      <c r="B12" s="77"/>
      <c r="C12" s="77"/>
      <c r="D12" s="78"/>
      <c r="E12" s="74"/>
      <c r="F12" s="76"/>
      <c r="G12" s="76"/>
    </row>
    <row r="13" spans="1:7" ht="15">
      <c r="A13" s="77" t="s">
        <v>22</v>
      </c>
      <c r="B13" s="77"/>
      <c r="C13" s="77"/>
      <c r="D13" s="79">
        <f>SUM(D11:D12)</f>
        <v>1600000</v>
      </c>
      <c r="E13" s="74"/>
      <c r="F13" s="76"/>
      <c r="G13" s="76"/>
    </row>
    <row r="14" spans="1:7" ht="15.75" thickBot="1">
      <c r="A14" s="74"/>
      <c r="B14" s="74"/>
      <c r="C14" s="74"/>
      <c r="D14" s="74"/>
      <c r="E14" s="74"/>
      <c r="F14" s="76"/>
      <c r="G14" s="76"/>
    </row>
    <row r="15" spans="1:7" ht="16.5" thickBot="1">
      <c r="A15" s="110" t="s">
        <v>23</v>
      </c>
      <c r="B15" s="111"/>
      <c r="C15" s="111"/>
      <c r="D15" s="111"/>
      <c r="E15" s="111"/>
      <c r="F15" s="76"/>
      <c r="G15" s="76"/>
    </row>
    <row r="16" spans="1:7" ht="15">
      <c r="A16" s="74"/>
      <c r="B16" s="74"/>
      <c r="C16" s="74"/>
      <c r="D16" s="74"/>
      <c r="E16" s="74"/>
      <c r="F16" s="76"/>
      <c r="G16" s="76"/>
    </row>
    <row r="17" spans="1:7" ht="15">
      <c r="A17" s="77" t="s">
        <v>24</v>
      </c>
      <c r="B17" s="77"/>
      <c r="C17" s="69"/>
      <c r="D17" s="77" t="s">
        <v>194</v>
      </c>
      <c r="E17" s="77"/>
      <c r="F17" s="76"/>
      <c r="G17" s="76"/>
    </row>
    <row r="18" spans="1:7" ht="15">
      <c r="A18" s="77" t="s">
        <v>157</v>
      </c>
      <c r="B18" s="77"/>
      <c r="C18" s="69"/>
      <c r="E18" s="74"/>
      <c r="F18" s="145">
        <f>IF(AND(Číselníky!F10=1,OR(Číselníky!D1&lt;10,Číselníky!D1&gt;20,Číselníky!G2&lt;&gt;5)),"Pro danou splatnost a fixaci není možno splácet progresivně","")</f>
      </c>
      <c r="G18" s="76"/>
    </row>
    <row r="19" spans="1:7" ht="15.75" thickBot="1">
      <c r="A19" s="137"/>
      <c r="B19" s="74"/>
      <c r="C19" s="74"/>
      <c r="D19" s="143" t="str">
        <f>"Garantovaná úroková sazba pro "&amp;IF(OR(Číselníky!G2=1,Číselníky!G2=3),"HYPOHIT","Nové TOP Bydlení")&amp;" je"</f>
        <v>Garantovaná úroková sazba pro HYPOHIT je</v>
      </c>
      <c r="E19" s="144">
        <f>IF(Číselníky!G2=1,Pom_Sazba!C10,0)+IF(Číselníky!G2=3,Pom_Sazba!C11,0)+IF(Číselníky!G2=5,Pom_Sazba!C14,0)+IF(Číselníky!G2=10,Pom_Sazba!C15,0)+IF(Číselníky!G2=15,Pom_Sazba!C16,0)</f>
        <v>0.0399</v>
      </c>
      <c r="F19" s="76"/>
      <c r="G19" s="76"/>
    </row>
    <row r="20" spans="1:7" s="7" customFormat="1" ht="13.5" thickBot="1">
      <c r="A20" s="83">
        <v>0.0299</v>
      </c>
      <c r="B20" s="117" t="s">
        <v>25</v>
      </c>
      <c r="C20" s="103"/>
      <c r="D20" s="103"/>
      <c r="E20" s="104"/>
      <c r="F20" s="71"/>
      <c r="G20" s="71"/>
    </row>
    <row r="21" spans="1:7" ht="15">
      <c r="A21" s="74"/>
      <c r="B21" s="74"/>
      <c r="C21" s="74"/>
      <c r="D21" s="74"/>
      <c r="E21" s="74"/>
      <c r="F21" s="76"/>
      <c r="G21" s="76"/>
    </row>
    <row r="22" spans="1:7" ht="15">
      <c r="A22" s="74"/>
      <c r="B22" s="117" t="s">
        <v>26</v>
      </c>
      <c r="C22" s="103"/>
      <c r="D22" s="103"/>
      <c r="E22" s="104"/>
      <c r="F22" s="76"/>
      <c r="G22" s="76"/>
    </row>
    <row r="23" spans="1:7" ht="15">
      <c r="A23" s="74"/>
      <c r="B23" s="117" t="s">
        <v>27</v>
      </c>
      <c r="C23" s="103"/>
      <c r="D23" s="103"/>
      <c r="E23" s="104"/>
      <c r="F23" s="76"/>
      <c r="G23" s="76"/>
    </row>
    <row r="24" spans="1:7" ht="15">
      <c r="A24" s="74"/>
      <c r="B24" s="74"/>
      <c r="C24" s="74"/>
      <c r="D24" s="74"/>
      <c r="E24" s="74"/>
      <c r="F24" s="76"/>
      <c r="G24" s="76"/>
    </row>
    <row r="25" spans="1:7" ht="15">
      <c r="A25" s="117" t="s">
        <v>28</v>
      </c>
      <c r="B25" s="117"/>
      <c r="C25" s="74"/>
      <c r="D25" s="74"/>
      <c r="E25" s="74"/>
      <c r="F25" s="76"/>
      <c r="G25" s="76"/>
    </row>
    <row r="26" spans="1:7" ht="15.75" thickBot="1">
      <c r="A26" s="74"/>
      <c r="B26" s="74"/>
      <c r="C26" s="74"/>
      <c r="D26" s="74"/>
      <c r="E26" s="74"/>
      <c r="F26" s="76"/>
      <c r="G26" s="76"/>
    </row>
    <row r="27" spans="1:7" ht="16.5" thickBot="1">
      <c r="A27" s="110" t="s">
        <v>143</v>
      </c>
      <c r="B27" s="111"/>
      <c r="C27" s="111"/>
      <c r="D27" s="111"/>
      <c r="E27" s="111"/>
      <c r="F27" s="76"/>
      <c r="G27" s="76"/>
    </row>
    <row r="28" spans="1:7" ht="15.75">
      <c r="A28" s="127"/>
      <c r="B28" s="76"/>
      <c r="C28" s="76"/>
      <c r="D28" s="74"/>
      <c r="E28" s="74"/>
      <c r="F28" s="76"/>
      <c r="G28" s="76"/>
    </row>
    <row r="29" spans="1:7" ht="16.5" thickBot="1">
      <c r="A29" s="127"/>
      <c r="B29" s="76"/>
      <c r="C29" s="76"/>
      <c r="D29" s="127" t="s">
        <v>144</v>
      </c>
      <c r="E29" s="127" t="s">
        <v>145</v>
      </c>
      <c r="F29" s="76"/>
      <c r="G29" s="76"/>
    </row>
    <row r="30" spans="1:7" ht="15.75" thickBot="1">
      <c r="A30" s="87" t="s">
        <v>29</v>
      </c>
      <c r="B30" s="87"/>
      <c r="C30" s="87"/>
      <c r="D30" s="80"/>
      <c r="E30" s="80"/>
      <c r="F30" s="76"/>
      <c r="G30" s="76"/>
    </row>
    <row r="31" spans="1:7" ht="15">
      <c r="A31" s="115" t="s">
        <v>30</v>
      </c>
      <c r="B31" s="115"/>
      <c r="C31" s="115"/>
      <c r="D31" s="84">
        <v>12000</v>
      </c>
      <c r="E31" s="128"/>
      <c r="F31" s="76"/>
      <c r="G31" s="76"/>
    </row>
    <row r="32" spans="1:7" ht="15.75" thickBot="1">
      <c r="A32" s="116" t="s">
        <v>31</v>
      </c>
      <c r="B32" s="116"/>
      <c r="C32" s="116"/>
      <c r="D32" s="85">
        <v>11000</v>
      </c>
      <c r="E32" s="129"/>
      <c r="F32" s="76"/>
      <c r="G32" s="76"/>
    </row>
    <row r="33" spans="1:7" ht="15.75" thickBot="1">
      <c r="A33" s="118" t="s">
        <v>32</v>
      </c>
      <c r="B33" s="118"/>
      <c r="C33" s="118"/>
      <c r="D33" s="86">
        <f>D32+D31</f>
        <v>23000</v>
      </c>
      <c r="E33" s="130">
        <f>E32+E31</f>
        <v>0</v>
      </c>
      <c r="F33" s="76"/>
      <c r="G33" s="76"/>
    </row>
    <row r="34" spans="1:7" ht="15">
      <c r="A34" s="74"/>
      <c r="B34" s="74"/>
      <c r="C34" s="74"/>
      <c r="D34" s="74"/>
      <c r="E34" s="74"/>
      <c r="F34" s="76"/>
      <c r="G34" s="76"/>
    </row>
    <row r="35" spans="1:7" ht="15.75" thickBot="1">
      <c r="A35" s="74"/>
      <c r="B35" s="74"/>
      <c r="C35" s="74"/>
      <c r="D35" s="74"/>
      <c r="E35" s="74"/>
      <c r="F35" s="76"/>
      <c r="G35" s="76"/>
    </row>
    <row r="36" spans="1:7" ht="15.75" thickBot="1">
      <c r="A36" s="87" t="s">
        <v>33</v>
      </c>
      <c r="B36" s="87"/>
      <c r="C36" s="87"/>
      <c r="D36" s="87"/>
      <c r="E36" s="87"/>
      <c r="F36" s="76"/>
      <c r="G36" s="76"/>
    </row>
    <row r="37" spans="1:7" ht="15">
      <c r="A37" s="119" t="s">
        <v>34</v>
      </c>
      <c r="B37" s="119"/>
      <c r="C37" s="119"/>
      <c r="D37" s="98">
        <v>1</v>
      </c>
      <c r="E37" s="131"/>
      <c r="F37" s="76"/>
      <c r="G37" s="76"/>
    </row>
    <row r="38" spans="1:7" ht="15">
      <c r="A38" s="120" t="s">
        <v>35</v>
      </c>
      <c r="B38" s="120"/>
      <c r="C38" s="120"/>
      <c r="D38" s="99"/>
      <c r="E38" s="132"/>
      <c r="F38" s="76"/>
      <c r="G38" s="76"/>
    </row>
    <row r="39" spans="1:7" ht="15">
      <c r="A39" s="120" t="s">
        <v>36</v>
      </c>
      <c r="B39" s="120"/>
      <c r="C39" s="120"/>
      <c r="D39" s="99"/>
      <c r="E39" s="132"/>
      <c r="F39" s="76"/>
      <c r="G39" s="76"/>
    </row>
    <row r="40" spans="1:7" ht="15">
      <c r="A40" s="120" t="s">
        <v>37</v>
      </c>
      <c r="B40" s="120"/>
      <c r="C40" s="120"/>
      <c r="D40" s="99"/>
      <c r="E40" s="132"/>
      <c r="F40" s="76"/>
      <c r="G40" s="76"/>
    </row>
    <row r="41" spans="1:7" ht="15.75" thickBot="1">
      <c r="A41" s="121" t="s">
        <v>38</v>
      </c>
      <c r="B41" s="121"/>
      <c r="C41" s="121"/>
      <c r="D41" s="100">
        <v>2</v>
      </c>
      <c r="E41" s="133"/>
      <c r="F41" s="76"/>
      <c r="G41" s="76"/>
    </row>
    <row r="42" spans="1:7" ht="15.75" thickBot="1">
      <c r="A42" s="122" t="s">
        <v>39</v>
      </c>
      <c r="B42" s="122"/>
      <c r="C42" s="122"/>
      <c r="D42" s="86">
        <f>pomocné!C8</f>
        <v>9210</v>
      </c>
      <c r="E42" s="130">
        <f>pomocné!D8</f>
        <v>0</v>
      </c>
      <c r="F42" s="76"/>
      <c r="G42" s="76"/>
    </row>
    <row r="43" spans="1:7" ht="15">
      <c r="A43" s="123" t="s">
        <v>40</v>
      </c>
      <c r="B43" s="123"/>
      <c r="C43" s="123"/>
      <c r="D43" s="84">
        <v>0</v>
      </c>
      <c r="E43" s="134"/>
      <c r="F43" s="76"/>
      <c r="G43" s="76"/>
    </row>
    <row r="45" ht="15"/>
    <row r="46" ht="15"/>
  </sheetData>
  <sheetProtection password="CAF5" sheet="1" objects="1" scenarios="1"/>
  <printOptions/>
  <pageMargins left="0.75" right="0.75" top="1" bottom="1" header="0.4921259845" footer="0.4921259845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5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9.125" style="208" customWidth="1"/>
    <col min="2" max="2" width="17.00390625" style="208" customWidth="1"/>
    <col min="3" max="3" width="12.125" style="208" customWidth="1"/>
    <col min="4" max="4" width="11.75390625" style="208" customWidth="1"/>
    <col min="5" max="5" width="2.00390625" style="208" customWidth="1"/>
    <col min="6" max="6" width="12.625" style="208" bestFit="1" customWidth="1"/>
    <col min="7" max="16384" width="9.125" style="208" customWidth="1"/>
  </cols>
  <sheetData>
    <row r="1" spans="1:13" ht="23.25">
      <c r="A1" s="207" t="s">
        <v>41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</row>
    <row r="2" ht="13.5" thickBot="1"/>
    <row r="3" spans="1:5" ht="13.5" thickBot="1">
      <c r="A3" s="209" t="s">
        <v>42</v>
      </c>
      <c r="B3" s="210"/>
      <c r="C3" s="210"/>
      <c r="D3" s="210"/>
      <c r="E3" s="210"/>
    </row>
    <row r="4" ht="12.75"/>
    <row r="5" spans="1:3" ht="12.75">
      <c r="A5" s="211" t="s">
        <v>43</v>
      </c>
      <c r="B5" s="211"/>
      <c r="C5" s="212">
        <f>PMT(Vstup!A20/12*365/360,12*Číselníky!D1,-Vstup!D9)-IF(Číselníky!F10=1,Vstup!D9/1000,0)</f>
        <v>4449.417540950342</v>
      </c>
    </row>
    <row r="6" spans="1:3" ht="12.75">
      <c r="A6" s="211" t="s">
        <v>44</v>
      </c>
      <c r="B6" s="211"/>
      <c r="C6" s="212">
        <f>IF(Číselníky!B7=1,pomocné!C24,0)</f>
        <v>0</v>
      </c>
    </row>
    <row r="7" spans="1:3" ht="12.75">
      <c r="A7" s="213" t="s">
        <v>45</v>
      </c>
      <c r="B7" s="213"/>
      <c r="C7" s="214">
        <f>IF(Číselníky!B12=1,pomocné!C40,0)</f>
        <v>303.15277777777777</v>
      </c>
    </row>
    <row r="8" spans="1:3" ht="12.75">
      <c r="A8" s="215" t="s">
        <v>46</v>
      </c>
      <c r="B8" s="215"/>
      <c r="C8" s="216">
        <f>C5-C6-C7</f>
        <v>4146.264763172565</v>
      </c>
    </row>
    <row r="9" ht="12.75"/>
    <row r="10" ht="12.75"/>
    <row r="11" ht="12.75"/>
    <row r="12" ht="12.75"/>
    <row r="13" ht="13.5" thickBot="1"/>
    <row r="14" spans="1:5" ht="13.5" thickBot="1">
      <c r="A14" s="209" t="s">
        <v>47</v>
      </c>
      <c r="B14" s="210"/>
      <c r="C14" s="210"/>
      <c r="D14" s="210"/>
      <c r="E14" s="210"/>
    </row>
    <row r="15" ht="12.75"/>
    <row r="16" spans="1:4" ht="12.75">
      <c r="A16" s="211" t="s">
        <v>48</v>
      </c>
      <c r="B16" s="211"/>
      <c r="C16" s="211"/>
      <c r="D16" s="212">
        <f>Vstup!D9</f>
        <v>800000</v>
      </c>
    </row>
    <row r="17" spans="1:4" ht="12.75">
      <c r="A17" s="211" t="s">
        <v>49</v>
      </c>
      <c r="B17" s="211"/>
      <c r="C17" s="211"/>
      <c r="D17" s="212">
        <f>Vstup!D13</f>
        <v>1600000</v>
      </c>
    </row>
    <row r="18" ht="12.75"/>
    <row r="19" spans="1:4" ht="12.75">
      <c r="A19" s="215" t="s">
        <v>50</v>
      </c>
      <c r="B19" s="215"/>
      <c r="C19" s="215"/>
      <c r="D19" s="217">
        <f>D16/D17</f>
        <v>0.5</v>
      </c>
    </row>
    <row r="20" ht="12.75"/>
    <row r="21" spans="1:4" ht="12.75">
      <c r="A21" s="218" t="str">
        <f>IF(D19&lt;Nastavení!A9,"Odhadní cena nemovitostí je pravděpodobně dostatečná","Odhadní cena nemovitostí je pravděpodobně nedostatečná")</f>
        <v>Odhadní cena nemovitostí je pravděpodobně dostatečná</v>
      </c>
      <c r="B21" s="219"/>
      <c r="C21" s="219"/>
      <c r="D21" s="219"/>
    </row>
    <row r="22" ht="12.75"/>
    <row r="23" ht="12.75">
      <c r="A23" s="220"/>
    </row>
    <row r="24" ht="12.75">
      <c r="A24" s="220"/>
    </row>
    <row r="25" ht="13.5" thickBot="1"/>
    <row r="26" spans="1:5" ht="13.5" thickBot="1">
      <c r="A26" s="209" t="s">
        <v>51</v>
      </c>
      <c r="B26" s="210"/>
      <c r="C26" s="210"/>
      <c r="D26" s="210"/>
      <c r="E26" s="210"/>
    </row>
    <row r="27" ht="12.75"/>
    <row r="28" spans="1:4" ht="12.75">
      <c r="A28" s="211" t="s">
        <v>52</v>
      </c>
      <c r="B28" s="211"/>
      <c r="C28" s="211"/>
      <c r="D28" s="212">
        <f>Vstup!D33+Vstup!E33</f>
        <v>23000</v>
      </c>
    </row>
    <row r="29" spans="1:4" ht="12.75">
      <c r="A29" s="211" t="str">
        <f>Nastavení!A13&amp;" násobek životního minima"</f>
        <v>1,5 násobek životního minima</v>
      </c>
      <c r="B29" s="211"/>
      <c r="C29" s="211"/>
      <c r="D29" s="212">
        <f>pom_grafy!B5</f>
        <v>13815</v>
      </c>
    </row>
    <row r="30" spans="1:4" ht="12.75">
      <c r="A30" s="211" t="s">
        <v>53</v>
      </c>
      <c r="B30" s="211"/>
      <c r="C30" s="211"/>
      <c r="D30" s="212">
        <f>Vstup!D43+Vstup!E43</f>
        <v>0</v>
      </c>
    </row>
    <row r="31" spans="1:4" ht="12.75">
      <c r="A31" s="221" t="s">
        <v>43</v>
      </c>
      <c r="B31" s="221"/>
      <c r="D31" s="222">
        <f>PMT(MAX(Vstup!A20,Pom_Sazba!C14)*365/360/12,12*Číselníky!D1,-Vstup!D9)-C6</f>
        <v>5305.890392780493</v>
      </c>
    </row>
    <row r="32" spans="1:4" ht="12.75">
      <c r="A32" s="215" t="s">
        <v>54</v>
      </c>
      <c r="B32" s="215"/>
      <c r="C32" s="215"/>
      <c r="D32" s="223">
        <f>D28-SUM(D29:D31)</f>
        <v>3879.109607219507</v>
      </c>
    </row>
    <row r="33" ht="12.75">
      <c r="A33" s="218" t="str">
        <f>IF(pomocné!D52="ano","Příjmy klienta jsou pro splácení úvěrů dostatečné","Příjmy klienta jsou pro splácení úvěrů nedostatečné")</f>
        <v>Příjmy klienta jsou pro splácení úvěrů dostatečné</v>
      </c>
    </row>
    <row r="34" spans="1:6" ht="12.75">
      <c r="A34" s="224"/>
      <c r="B34" s="219"/>
      <c r="C34" s="219"/>
      <c r="D34" s="225" t="s">
        <v>154</v>
      </c>
      <c r="F34" s="226">
        <f>pomocné!G48</f>
        <v>9185</v>
      </c>
    </row>
    <row r="35" spans="4:6" ht="12.75">
      <c r="D35" s="225" t="s">
        <v>155</v>
      </c>
      <c r="F35" s="226">
        <f>ROUND(pomocné!G58-5000,-4)</f>
        <v>1650000</v>
      </c>
    </row>
  </sheetData>
  <sheetProtection password="CAF5" sheet="1" objects="1" scenarios="1"/>
  <printOptions/>
  <pageMargins left="0.75" right="0.75" top="1" bottom="1" header="0.4921259845" footer="0.4921259845"/>
  <pageSetup horizontalDpi="600" verticalDpi="600" orientation="landscape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.375" style="177" customWidth="1"/>
    <col min="2" max="2" width="13.25390625" style="177" customWidth="1"/>
    <col min="3" max="3" width="9.375" style="177" customWidth="1"/>
    <col min="4" max="4" width="10.25390625" style="177" customWidth="1"/>
    <col min="5" max="5" width="10.00390625" style="177" customWidth="1"/>
    <col min="6" max="16384" width="9.125" style="177" customWidth="1"/>
  </cols>
  <sheetData>
    <row r="1" ht="13.5" thickBot="1">
      <c r="A1" s="176"/>
    </row>
    <row r="2" spans="1:9" ht="23.25">
      <c r="A2" s="178" t="s">
        <v>55</v>
      </c>
      <c r="B2" s="179"/>
      <c r="C2" s="179"/>
      <c r="D2" s="179"/>
      <c r="E2" s="179"/>
      <c r="F2" s="179"/>
      <c r="G2" s="179"/>
      <c r="H2" s="179"/>
      <c r="I2" s="180"/>
    </row>
    <row r="3" spans="1:9" ht="24" thickBot="1">
      <c r="A3" s="181"/>
      <c r="B3" s="182"/>
      <c r="C3" s="182"/>
      <c r="D3" s="182"/>
      <c r="E3" s="182"/>
      <c r="F3" s="182"/>
      <c r="G3" s="182"/>
      <c r="H3" s="182"/>
      <c r="I3" s="183"/>
    </row>
    <row r="4" spans="1:9" ht="12.75">
      <c r="A4" s="184"/>
      <c r="B4" s="185"/>
      <c r="C4" s="185"/>
      <c r="D4" s="185"/>
      <c r="E4" s="185"/>
      <c r="F4" s="185"/>
      <c r="G4" s="185"/>
      <c r="H4" s="185"/>
      <c r="I4" s="186"/>
    </row>
    <row r="5" spans="1:9" ht="12.75">
      <c r="A5" s="184"/>
      <c r="B5" s="185"/>
      <c r="C5" s="185"/>
      <c r="D5" s="185"/>
      <c r="E5" s="185"/>
      <c r="F5" s="185"/>
      <c r="G5" s="185"/>
      <c r="H5" s="185"/>
      <c r="I5" s="186"/>
    </row>
    <row r="6" spans="1:9" ht="13.5" thickBot="1">
      <c r="A6" s="184"/>
      <c r="B6" s="185"/>
      <c r="C6" s="185"/>
      <c r="D6" s="185"/>
      <c r="E6" s="185"/>
      <c r="F6" s="185"/>
      <c r="G6" s="185"/>
      <c r="H6" s="185"/>
      <c r="I6" s="186"/>
    </row>
    <row r="7" spans="1:9" ht="34.5" thickBot="1">
      <c r="A7" s="187" t="s">
        <v>56</v>
      </c>
      <c r="B7" s="188" t="s">
        <v>57</v>
      </c>
      <c r="C7" s="188" t="s">
        <v>58</v>
      </c>
      <c r="D7" s="188" t="s">
        <v>59</v>
      </c>
      <c r="E7" s="188" t="s">
        <v>60</v>
      </c>
      <c r="F7" s="188" t="s">
        <v>44</v>
      </c>
      <c r="G7" s="188" t="s">
        <v>61</v>
      </c>
      <c r="H7" s="188" t="s">
        <v>62</v>
      </c>
      <c r="I7" s="189" t="s">
        <v>63</v>
      </c>
    </row>
    <row r="8" spans="1:9" ht="12.75">
      <c r="A8" s="190">
        <v>0</v>
      </c>
      <c r="B8" s="191">
        <f>Vstup!D9</f>
        <v>800000</v>
      </c>
      <c r="C8" s="192">
        <f>Výstup!C5</f>
        <v>4449.417540950342</v>
      </c>
      <c r="D8" s="192">
        <f>B8*Vstup!A20/12*365/360</f>
        <v>2021.0185185185185</v>
      </c>
      <c r="E8" s="192">
        <f>C8-D8</f>
        <v>2428.399022431824</v>
      </c>
      <c r="F8" s="192">
        <f>Výstup!C6</f>
        <v>0</v>
      </c>
      <c r="G8" s="192">
        <f>IF(A8="","",pomocné!$C$38*MAX(0,D8-F8))</f>
        <v>303.15277777777777</v>
      </c>
      <c r="H8" s="192">
        <f>C8-F8-G8</f>
        <v>4146.264763172565</v>
      </c>
      <c r="I8" s="193">
        <f>H8</f>
        <v>4146.264763172565</v>
      </c>
    </row>
    <row r="9" spans="1:9" ht="12.75">
      <c r="A9" s="194">
        <f>IF(A8&lt;Číselníky!$D$1,Doplňující!A8+1,"")</f>
        <v>1</v>
      </c>
      <c r="B9" s="195">
        <f>IF(A9="","",FV(Vstup!$A$20/12*365/360,12,Doplňující!C9,-B8))</f>
        <v>770450.8859223439</v>
      </c>
      <c r="C9" s="196">
        <f>IF(A9="","",IF(A9&lt;=Číselníky!$G$2,pomocné!$B$60,pomocné!$B$63))</f>
        <v>4449.417540950342</v>
      </c>
      <c r="D9" s="196">
        <f>IF(A9="","",B9*Vstup!$A$20/12*365/360)</f>
        <v>1946.3693850725695</v>
      </c>
      <c r="E9" s="196">
        <f>IF(A9="","",C9-D9)</f>
        <v>2503.048155877773</v>
      </c>
      <c r="F9" s="196">
        <f>IF(A9="","",F8)</f>
        <v>0</v>
      </c>
      <c r="G9" s="196">
        <f>IF(A9="","",pomocné!$C$38*MAX(0,D9-F9))</f>
        <v>291.9554077608854</v>
      </c>
      <c r="H9" s="196">
        <f>IF(A9="","",C9-F9-G9)</f>
        <v>4157.462133189457</v>
      </c>
      <c r="I9" s="197">
        <f>IF(A9="","",H9/((1+Nastavení!$B$62)^Doplňující!A9))</f>
        <v>4075.9432678328008</v>
      </c>
    </row>
    <row r="10" spans="1:9" ht="12.75">
      <c r="A10" s="194">
        <f>IF(A9&lt;Číselníky!$D$1,Doplňující!A9+1,"")</f>
        <v>2</v>
      </c>
      <c r="B10" s="195">
        <f>IF(A10="","",FV(Vstup!$A$20/12*365/360,12,Doplňující!C10,-B9))</f>
        <v>739993.4302831831</v>
      </c>
      <c r="C10" s="196">
        <f>IF(A10="","",IF(A10&lt;=Číselníky!$G$2,pomocné!$B$60,pomocné!$B$63))</f>
        <v>4449.417540950342</v>
      </c>
      <c r="D10" s="196">
        <f>IF(A10="","",B10*Vstup!$A$20/12*365/360)</f>
        <v>1869.425532730444</v>
      </c>
      <c r="E10" s="196">
        <f aca="true" t="shared" si="0" ref="E10:E27">IF(A10="","",C10-D10)</f>
        <v>2579.9920082198983</v>
      </c>
      <c r="F10" s="196">
        <f aca="true" t="shared" si="1" ref="F10:F27">IF(A10="","",F9)</f>
        <v>0</v>
      </c>
      <c r="G10" s="196">
        <f>IF(A10="","",pomocné!$C$38*MAX(0,D10-F10))</f>
        <v>280.4138299095666</v>
      </c>
      <c r="H10" s="196">
        <f aca="true" t="shared" si="2" ref="H10:H27">IF(A10="","",C10-F10-G10)</f>
        <v>4169.003711040776</v>
      </c>
      <c r="I10" s="197">
        <f>IF(A10="","",H10/((1+Nastavení!$B$62)^Doplňující!A10))</f>
        <v>4007.1162159177006</v>
      </c>
    </row>
    <row r="11" spans="1:9" ht="12.75">
      <c r="A11" s="194">
        <f>IF(A10&lt;Číselníky!$D$1,Doplňující!A10+1,"")</f>
        <v>3</v>
      </c>
      <c r="B11" s="195">
        <f>IF(A11="","",FV(Vstup!$A$20/12*365/360,12,Doplňující!C11,-B10))</f>
        <v>708599.7106077458</v>
      </c>
      <c r="C11" s="196">
        <f>IF(A11="","",IF(A11&lt;=Číselníky!$G$2,pomocné!$B$60,pomocné!$B$63))</f>
        <v>4449.417540950342</v>
      </c>
      <c r="D11" s="196">
        <f>IF(A11="","",B11*Vstup!$A$20/12*365/360)</f>
        <v>1790.1164216938964</v>
      </c>
      <c r="E11" s="196">
        <f t="shared" si="0"/>
        <v>2659.301119256446</v>
      </c>
      <c r="F11" s="196">
        <f t="shared" si="1"/>
        <v>0</v>
      </c>
      <c r="G11" s="196">
        <f>IF(A11="","",pomocné!$C$38*MAX(0,D11-F11))</f>
        <v>268.5174632540845</v>
      </c>
      <c r="H11" s="196">
        <f t="shared" si="2"/>
        <v>4180.9000776962575</v>
      </c>
      <c r="I11" s="197">
        <f>IF(A11="","",H11/((1+Nastavení!$B$62)^Doplňující!A11))</f>
        <v>3939.7555217226572</v>
      </c>
    </row>
    <row r="12" spans="1:9" ht="12.75">
      <c r="A12" s="194">
        <f>IF(A11&lt;Číselníky!$D$1,Doplňující!A11+1,"")</f>
        <v>4</v>
      </c>
      <c r="B12" s="195">
        <f>IF(A12="","",FV(Vstup!$A$20/12*365/360,12,Doplňující!C12,-B11))</f>
        <v>676240.94608269</v>
      </c>
      <c r="C12" s="196">
        <f>IF(A12="","",IF(A12&lt;=Číselníky!$G$2,pomocné!$B$60,pomocné!$B$63))</f>
        <v>4449.417540950344</v>
      </c>
      <c r="D12" s="196">
        <f>IF(A12="","",B12*Vstup!$A$20/12*365/360)</f>
        <v>1708.3693437669995</v>
      </c>
      <c r="E12" s="196">
        <f t="shared" si="0"/>
        <v>2741.0481971833447</v>
      </c>
      <c r="F12" s="196">
        <f t="shared" si="1"/>
        <v>0</v>
      </c>
      <c r="G12" s="196">
        <f>IF(A12="","",pomocné!$C$38*MAX(0,D12-F12))</f>
        <v>256.2554015650499</v>
      </c>
      <c r="H12" s="196">
        <f t="shared" si="2"/>
        <v>4193.162139385294</v>
      </c>
      <c r="I12" s="197">
        <f>IF(A12="","",H12/((1+Nastavení!$B$62)^Doplňující!A12))</f>
        <v>3873.833663058657</v>
      </c>
    </row>
    <row r="13" spans="1:9" ht="12.75">
      <c r="A13" s="194">
        <f>IF(A12&lt;Číselníky!$D$1,Doplňující!A12+1,"")</f>
        <v>5</v>
      </c>
      <c r="B13" s="195">
        <f>IF(A13="","",FV(Vstup!$A$20/12*365/360,12,Doplňující!C13,-B12))</f>
        <v>642887.4711707234</v>
      </c>
      <c r="C13" s="196">
        <f>IF(A13="","",IF(A13&lt;=Číselníky!$G$2,pomocné!$B$60,pomocné!$B$63))</f>
        <v>4449.417540950344</v>
      </c>
      <c r="D13" s="196">
        <f>IF(A13="","",B13*Vstup!$A$20/12*365/360)</f>
        <v>1624.1093556994654</v>
      </c>
      <c r="E13" s="196">
        <f t="shared" si="0"/>
        <v>2825.3081852508785</v>
      </c>
      <c r="F13" s="196">
        <f t="shared" si="1"/>
        <v>0</v>
      </c>
      <c r="G13" s="196">
        <f>IF(A13="","",pomocné!$C$38*MAX(0,D13-F13))</f>
        <v>243.61640335491978</v>
      </c>
      <c r="H13" s="196">
        <f t="shared" si="2"/>
        <v>4205.801137595425</v>
      </c>
      <c r="I13" s="197">
        <f>IF(A13="","",H13/((1+Nastavení!$B$62)^Doplňující!A13))</f>
        <v>3809.3236703378857</v>
      </c>
    </row>
    <row r="14" spans="1:9" ht="12.75">
      <c r="A14" s="194">
        <f>IF(A13&lt;Číselníky!$D$1,Doplňující!A13+1,"")</f>
        <v>6</v>
      </c>
      <c r="B14" s="195">
        <f>IF(A14="","",FV(Vstup!$A$20/12*365/360,12,Doplňující!C14,-B13))</f>
        <v>608508.7084141356</v>
      </c>
      <c r="C14" s="196">
        <f>IF(A14="","",IF(A14&lt;=Číselníky!$G$2,pomocné!$B$60,pomocné!$B$63))</f>
        <v>4449.417540950344</v>
      </c>
      <c r="D14" s="196">
        <f>IF(A14="","",B14*Vstup!$A$20/12*365/360)</f>
        <v>1537.2592104809416</v>
      </c>
      <c r="E14" s="196">
        <f t="shared" si="0"/>
        <v>2912.1583304694022</v>
      </c>
      <c r="F14" s="196">
        <f t="shared" si="1"/>
        <v>0</v>
      </c>
      <c r="G14" s="196">
        <f>IF(A14="","",pomocné!$C$38*MAX(0,D14-F14))</f>
        <v>230.58888157214125</v>
      </c>
      <c r="H14" s="196">
        <f t="shared" si="2"/>
        <v>4218.828659378203</v>
      </c>
      <c r="I14" s="197">
        <f>IF(A14="","",H14/((1+Nastavení!$B$62)^Doplňující!A14))</f>
        <v>3746.1991158747824</v>
      </c>
    </row>
    <row r="15" spans="1:9" ht="12.75">
      <c r="A15" s="194">
        <f>IF(A14&lt;Číselníky!$D$1,Doplňující!A14+1,"")</f>
        <v>7</v>
      </c>
      <c r="B15" s="195">
        <f>IF(A15="","",FV(Vstup!$A$20/12*365/360,12,Doplňující!C15,-B14))</f>
        <v>573073.1404023088</v>
      </c>
      <c r="C15" s="196">
        <f>IF(A15="","",IF(A15&lt;=Číselníky!$G$2,pomocné!$B$60,pomocné!$B$63))</f>
        <v>4449.417540950344</v>
      </c>
      <c r="D15" s="196">
        <f>IF(A15="","",B15*Vstup!$A$20/12*365/360)</f>
        <v>1447.7392865232864</v>
      </c>
      <c r="E15" s="196">
        <f t="shared" si="0"/>
        <v>3001.6782544270577</v>
      </c>
      <c r="F15" s="196">
        <f t="shared" si="1"/>
        <v>0</v>
      </c>
      <c r="G15" s="196">
        <f>IF(A15="","",pomocné!$C$38*MAX(0,D15-F15))</f>
        <v>217.16089297849297</v>
      </c>
      <c r="H15" s="196">
        <f t="shared" si="2"/>
        <v>4232.256647971851</v>
      </c>
      <c r="I15" s="197">
        <f>IF(A15="","",H15/((1+Nastavení!$B$62)^Doplňující!A15))</f>
        <v>3684.434103398299</v>
      </c>
    </row>
    <row r="16" spans="1:9" ht="12.75">
      <c r="A16" s="194">
        <f>IF(A15&lt;Číselníky!$D$1,Doplňující!A15+1,"")</f>
        <v>8</v>
      </c>
      <c r="B16" s="195">
        <f>IF(A16="","",FV(Vstup!$A$20/12*365/360,12,Doplňující!C16,-B15))</f>
        <v>536548.2808775086</v>
      </c>
      <c r="C16" s="196">
        <f>IF(A16="","",IF(A16&lt;=Číselníky!$G$2,pomocné!$B$60,pomocné!$B$63))</f>
        <v>4449.417540950344</v>
      </c>
      <c r="D16" s="196">
        <f>IF(A16="","",B16*Vstup!$A$20/12*365/360)</f>
        <v>1355.4675146659006</v>
      </c>
      <c r="E16" s="196">
        <f t="shared" si="0"/>
        <v>3093.9500262844435</v>
      </c>
      <c r="F16" s="196">
        <f t="shared" si="1"/>
        <v>0</v>
      </c>
      <c r="G16" s="196">
        <f>IF(A16="","",pomocné!$C$38*MAX(0,D16-F16))</f>
        <v>203.3201271998851</v>
      </c>
      <c r="H16" s="196">
        <f t="shared" si="2"/>
        <v>4246.097413750459</v>
      </c>
      <c r="I16" s="197">
        <f>IF(A16="","",H16/((1+Nastavení!$B$62)^Doplňující!A16))</f>
        <v>3624.0032577712523</v>
      </c>
    </row>
    <row r="17" spans="1:9" ht="12.75">
      <c r="A17" s="194">
        <f>IF(A16&lt;Číselníky!$D$1,Doplňující!A16+1,"")</f>
        <v>9</v>
      </c>
      <c r="B17" s="195">
        <f>IF(A17="","",FV(Vstup!$A$20/12*365/360,12,Doplňující!C17,-B16))</f>
        <v>498900.6449524646</v>
      </c>
      <c r="C17" s="196">
        <f>IF(A17="","",IF(A17&lt;=Číselníky!$G$2,pomocné!$B$60,pomocné!$B$63))</f>
        <v>4449.417540950344</v>
      </c>
      <c r="D17" s="196">
        <f>IF(A17="","",B17*Vstup!$A$20/12*365/360)</f>
        <v>1260.3593029372041</v>
      </c>
      <c r="E17" s="196">
        <f t="shared" si="0"/>
        <v>3189.05823801314</v>
      </c>
      <c r="F17" s="196">
        <f t="shared" si="1"/>
        <v>0</v>
      </c>
      <c r="G17" s="196">
        <f>IF(A17="","",pomocné!$C$38*MAX(0,D17-F17))</f>
        <v>189.05389544058062</v>
      </c>
      <c r="H17" s="196">
        <f t="shared" si="2"/>
        <v>4260.363645509764</v>
      </c>
      <c r="I17" s="197">
        <f>IF(A17="","",H17/((1+Nastavení!$B$62)^Doplňující!A17))</f>
        <v>3564.881714912731</v>
      </c>
    </row>
    <row r="18" spans="1:9" ht="12.75">
      <c r="A18" s="194">
        <f>IF(A17&lt;Číselníky!$D$1,Doplňující!A17+1,"")</f>
        <v>10</v>
      </c>
      <c r="B18" s="195">
        <f>IF(A18="","",FV(Vstup!$A$20/12*365/360,12,Doplňující!C18,-B17))</f>
        <v>460095.71841243806</v>
      </c>
      <c r="C18" s="196">
        <f>IF(A18="","",IF(A18&lt;=Číselníky!$G$2,pomocné!$B$60,pomocné!$B$63))</f>
        <v>4449.417540950344</v>
      </c>
      <c r="D18" s="196">
        <f>IF(A18="","",B18*Vstup!$A$20/12*365/360)</f>
        <v>1162.3274590032738</v>
      </c>
      <c r="E18" s="196">
        <f t="shared" si="0"/>
        <v>3287.0900819470703</v>
      </c>
      <c r="F18" s="196">
        <f t="shared" si="1"/>
        <v>0</v>
      </c>
      <c r="G18" s="196">
        <f>IF(A18="","",pomocné!$C$38*MAX(0,D18-F18))</f>
        <v>174.34911885049107</v>
      </c>
      <c r="H18" s="196">
        <f t="shared" si="2"/>
        <v>4275.068422099853</v>
      </c>
      <c r="I18" s="197">
        <f>IF(A18="","",H18/((1+Nastavení!$B$62)^Doplňující!A18))</f>
        <v>3507.045111919577</v>
      </c>
    </row>
    <row r="19" spans="1:9" ht="12.75">
      <c r="A19" s="194">
        <f>IF(A18&lt;Číselníky!$D$1,Doplňující!A18+1,"")</f>
        <v>11</v>
      </c>
      <c r="B19" s="195">
        <f>IF(A19="","",FV(Vstup!$A$20/12*365/360,12,Doplňující!C19,-B18))</f>
        <v>420097.9260736328</v>
      </c>
      <c r="C19" s="196">
        <f>IF(A19="","",IF(A19&lt;=Číselníky!$G$2,pomocné!$B$60,pomocné!$B$63))</f>
        <v>4449.417540950344</v>
      </c>
      <c r="D19" s="196">
        <f>IF(A19="","",B19*Vstup!$A$20/12*365/360)</f>
        <v>1061.2821102325445</v>
      </c>
      <c r="E19" s="196">
        <f t="shared" si="0"/>
        <v>3388.1354307178</v>
      </c>
      <c r="F19" s="196">
        <f t="shared" si="1"/>
        <v>0</v>
      </c>
      <c r="G19" s="196">
        <f>IF(A19="","",pomocné!$C$38*MAX(0,D19-F19))</f>
        <v>159.19231653488166</v>
      </c>
      <c r="H19" s="196">
        <f t="shared" si="2"/>
        <v>4290.225224415462</v>
      </c>
      <c r="I19" s="197">
        <f>IF(A19="","",H19/((1+Nastavení!$B$62)^Doplňující!A19))</f>
        <v>3450.4695773830704</v>
      </c>
    </row>
    <row r="20" spans="1:9" ht="12.75">
      <c r="A20" s="194">
        <f>IF(A19&lt;Číselníky!$D$1,Doplňující!A19+1,"")</f>
        <v>12</v>
      </c>
      <c r="B20" s="195">
        <f>IF(A20="","",FV(Vstup!$A$20/12*365/360,12,Doplňující!C20,-B19))</f>
        <v>378870.59916894184</v>
      </c>
      <c r="C20" s="196">
        <f>IF(A20="","",IF(A20&lt;=Číselníky!$G$2,pomocné!$B$60,pomocné!$B$63))</f>
        <v>4449.417540950344</v>
      </c>
      <c r="D20" s="196">
        <f>IF(A20="","",B20*Vstup!$A$20/12*365/360)</f>
        <v>957.130621303298</v>
      </c>
      <c r="E20" s="196">
        <f t="shared" si="0"/>
        <v>3492.286919647046</v>
      </c>
      <c r="F20" s="196">
        <f t="shared" si="1"/>
        <v>0</v>
      </c>
      <c r="G20" s="196">
        <f>IF(A20="","",pomocné!$C$38*MAX(0,D20-F20))</f>
        <v>143.5695931954947</v>
      </c>
      <c r="H20" s="196">
        <f t="shared" si="2"/>
        <v>4305.84794775485</v>
      </c>
      <c r="I20" s="197">
        <f>IF(A20="","",H20/((1+Nastavení!$B$62)^Doplňující!A20))</f>
        <v>3395.13172189698</v>
      </c>
    </row>
    <row r="21" spans="1:9" ht="12.75">
      <c r="A21" s="194">
        <f>IF(A20&lt;Číselníky!$D$1,Doplňující!A20+1,"")</f>
        <v>13</v>
      </c>
      <c r="B21" s="195">
        <f>IF(A21="","",FV(Vstup!$A$20/12*365/360,12,Doplňující!C21,-B20))</f>
        <v>336375.94173113036</v>
      </c>
      <c r="C21" s="196">
        <f>IF(A21="","",IF(A21&lt;=Číselníky!$G$2,pomocné!$B$60,pomocné!$B$63))</f>
        <v>4449.417540950344</v>
      </c>
      <c r="D21" s="196">
        <f>IF(A21="","",B21*Vstup!$A$20/12*365/360)</f>
        <v>849.7775092784008</v>
      </c>
      <c r="E21" s="196">
        <f t="shared" si="0"/>
        <v>3599.6400316719432</v>
      </c>
      <c r="F21" s="196">
        <f t="shared" si="1"/>
        <v>0</v>
      </c>
      <c r="G21" s="196">
        <f>IF(A21="","",pomocné!$C$38*MAX(0,D21-F21))</f>
        <v>127.46662639176012</v>
      </c>
      <c r="H21" s="196">
        <f t="shared" si="2"/>
        <v>4321.950914558584</v>
      </c>
      <c r="I21" s="197">
        <f>IF(A21="","",H21/((1+Nastavení!$B$62)^Doplňující!A21))</f>
        <v>3341.0086287532768</v>
      </c>
    </row>
    <row r="22" spans="1:9" ht="12.75">
      <c r="A22" s="194">
        <f>IF(A21&lt;Číselníky!$D$1,Doplňující!A21+1,"")</f>
        <v>14</v>
      </c>
      <c r="B22" s="195">
        <f>IF(A22="","",FV(Vstup!$A$20/12*365/360,12,Doplňující!C22,-B21))</f>
        <v>292574.9959426349</v>
      </c>
      <c r="C22" s="196">
        <f>IF(A22="","",IF(A22&lt;=Číselníky!$G$2,pomocné!$B$60,pomocné!$B$63))</f>
        <v>4449.417540950344</v>
      </c>
      <c r="D22" s="196">
        <f>IF(A22="","",B22*Vstup!$A$20/12*365/360)</f>
        <v>739.124356069432</v>
      </c>
      <c r="E22" s="196">
        <f t="shared" si="0"/>
        <v>3710.293184880912</v>
      </c>
      <c r="F22" s="196">
        <f t="shared" si="1"/>
        <v>0</v>
      </c>
      <c r="G22" s="196">
        <f>IF(A22="","",pomocné!$C$38*MAX(0,D22-F22))</f>
        <v>110.8686534104148</v>
      </c>
      <c r="H22" s="196">
        <f t="shared" si="2"/>
        <v>4338.54888753993</v>
      </c>
      <c r="I22" s="197">
        <f>IF(A22="","",H22/((1+Nastavení!$B$62)^Doplňující!A22))</f>
        <v>3288.0778448218202</v>
      </c>
    </row>
    <row r="23" spans="1:9" ht="12.75">
      <c r="A23" s="194">
        <f>IF(A22&lt;Číselníky!$D$1,Doplňující!A22+1,"")</f>
        <v>15</v>
      </c>
      <c r="B23" s="195">
        <f>IF(A23="","",FV(Vstup!$A$20/12*365/360,12,Doplňující!C23,-B22))</f>
        <v>247427.6064202139</v>
      </c>
      <c r="C23" s="196">
        <f>IF(A23="","",IF(A23&lt;=Číselníky!$G$2,pomocné!$B$60,pomocné!$B$63))</f>
        <v>4449.417540950344</v>
      </c>
      <c r="D23" s="196">
        <f>IF(A23="","",B23*Vstup!$A$20/12*365/360)</f>
        <v>625.0697182099548</v>
      </c>
      <c r="E23" s="196">
        <f t="shared" si="0"/>
        <v>3824.3478227403893</v>
      </c>
      <c r="F23" s="196">
        <f t="shared" si="1"/>
        <v>0</v>
      </c>
      <c r="G23" s="196">
        <f>IF(A23="","",pomocné!$C$38*MAX(0,D23-F23))</f>
        <v>93.76045773149322</v>
      </c>
      <c r="H23" s="196">
        <f t="shared" si="2"/>
        <v>4355.657083218851</v>
      </c>
      <c r="I23" s="197">
        <f>IF(A23="","",H23/((1+Nastavení!$B$62)^Doplňující!A23))</f>
        <v>3236.317371610436</v>
      </c>
    </row>
    <row r="24" spans="1:9" ht="12.75">
      <c r="A24" s="194">
        <f>IF(A23&lt;Číselníky!$D$1,Doplňující!A23+1,"")</f>
        <v>16</v>
      </c>
      <c r="B24" s="195">
        <f>IF(A24="","",FV(Vstup!$A$20/12*365/360,12,Doplňující!C24,-B23))</f>
        <v>200892.3834017061</v>
      </c>
      <c r="C24" s="196">
        <f>IF(A24="","",IF(A24&lt;=Číselníky!$G$2,pomocné!$B$60,pomocné!$B$63))</f>
        <v>4449.417540950344</v>
      </c>
      <c r="D24" s="196">
        <f>IF(A24="","",B24*Vstup!$A$20/12*365/360)</f>
        <v>507.5090338552128</v>
      </c>
      <c r="E24" s="196">
        <f t="shared" si="0"/>
        <v>3941.9085070951314</v>
      </c>
      <c r="F24" s="196">
        <f t="shared" si="1"/>
        <v>0</v>
      </c>
      <c r="G24" s="196">
        <f>IF(A24="","",pomocné!$C$38*MAX(0,D24-F24))</f>
        <v>76.12635507828192</v>
      </c>
      <c r="H24" s="196">
        <f t="shared" si="2"/>
        <v>4373.291185872062</v>
      </c>
      <c r="I24" s="197">
        <f>IF(A24="","",H24/((1+Nastavení!$B$62)^Doplňující!A24))</f>
        <v>3185.7056565018634</v>
      </c>
    </row>
    <row r="25" spans="1:9" ht="12.75">
      <c r="A25" s="194">
        <f>IF(A24&lt;Číselníky!$D$1,Doplňující!A24+1,"")</f>
        <v>17</v>
      </c>
      <c r="B25" s="195">
        <f>IF(A25="","",FV(Vstup!$A$20/12*365/360,12,Doplňující!C25,-B24))</f>
        <v>152926.6648011473</v>
      </c>
      <c r="C25" s="196">
        <f>IF(A25="","",IF(A25&lt;=Číselníky!$G$2,pomocné!$B$60,pomocné!$B$63))</f>
        <v>4449.417540950344</v>
      </c>
      <c r="D25" s="196">
        <f>IF(A25="","",B25*Vstup!$A$20/12*365/360)</f>
        <v>386.33452692299096</v>
      </c>
      <c r="E25" s="196">
        <f t="shared" si="0"/>
        <v>4063.0830140273533</v>
      </c>
      <c r="F25" s="196">
        <f t="shared" si="1"/>
        <v>0</v>
      </c>
      <c r="G25" s="196">
        <f>IF(A25="","",pomocné!$C$38*MAX(0,D25-F25))</f>
        <v>57.95017903844864</v>
      </c>
      <c r="H25" s="196">
        <f t="shared" si="2"/>
        <v>4391.467361911896</v>
      </c>
      <c r="I25" s="197">
        <f>IF(A25="","",H25/((1+Nastavení!$B$62)^Doplňující!A25))</f>
        <v>3136.2215841641305</v>
      </c>
    </row>
    <row r="26" spans="1:9" ht="12.75">
      <c r="A26" s="194">
        <f>IF(A25&lt;Číselníky!$D$1,Doplňující!A25+1,"")</f>
        <v>18</v>
      </c>
      <c r="B26" s="195">
        <f>IF(A26="","",FV(Vstup!$A$20/12*365/360,12,Doplňující!C26,-B25))</f>
        <v>103486.47709745969</v>
      </c>
      <c r="C26" s="196">
        <f>IF(A26="","",IF(A26&lt;=Číselníky!$G$2,pomocné!$B$60,pomocné!$B$63))</f>
        <v>4449.417540950344</v>
      </c>
      <c r="D26" s="196">
        <f>IF(A26="","",B26*Vstup!$A$20/12*365/360)</f>
        <v>261.4351082877607</v>
      </c>
      <c r="E26" s="196">
        <f t="shared" si="0"/>
        <v>4187.982432662583</v>
      </c>
      <c r="F26" s="196">
        <f t="shared" si="1"/>
        <v>0</v>
      </c>
      <c r="G26" s="196">
        <f>IF(A26="","",pomocné!$C$38*MAX(0,D26-F26))</f>
        <v>39.21526624316411</v>
      </c>
      <c r="H26" s="196">
        <f t="shared" si="2"/>
        <v>4410.20227470718</v>
      </c>
      <c r="I26" s="197">
        <f>IF(A26="","",H26/((1+Nastavení!$B$62)^Doplňující!A26))</f>
        <v>3087.8444681309493</v>
      </c>
    </row>
    <row r="27" spans="1:9" ht="12.75">
      <c r="A27" s="194">
        <f>IF(A26&lt;Číselníky!$D$1,Doplňující!A26+1,"")</f>
        <v>19</v>
      </c>
      <c r="B27" s="195">
        <f>IF(A27="","",FV(Vstup!$A$20/12*365/360,12,Doplňující!C27,-B26))</f>
        <v>52526.4950208566</v>
      </c>
      <c r="C27" s="196">
        <f>IF(A27="","",IF(A27&lt;=Číselníky!$G$2,pomocné!$B$60,pomocné!$B$63))</f>
        <v>4449.417540950344</v>
      </c>
      <c r="D27" s="196">
        <f>IF(A27="","",B27*Vstup!$A$20/12*365/360)</f>
        <v>132.69627393752745</v>
      </c>
      <c r="E27" s="196">
        <f t="shared" si="0"/>
        <v>4316.7212670128165</v>
      </c>
      <c r="F27" s="196">
        <f t="shared" si="1"/>
        <v>0</v>
      </c>
      <c r="G27" s="196">
        <f>IF(A27="","",pomocné!$C$38*MAX(0,D27-F27))</f>
        <v>19.904441090629117</v>
      </c>
      <c r="H27" s="196">
        <f t="shared" si="2"/>
        <v>4429.513099859715</v>
      </c>
      <c r="I27" s="197">
        <f>IF(A27="","",H27/((1+Nastavení!$B$62)^Doplňující!A27))</f>
        <v>3040.554042548842</v>
      </c>
    </row>
    <row r="28" spans="1:9" ht="12.75">
      <c r="A28" s="194">
        <f>IF(A27&lt;Číselníky!$D$1,Doplňující!A27+1,"")</f>
        <v>20</v>
      </c>
      <c r="B28" s="195">
        <f>IF(A28="","",FV(Vstup!$A$20/12*365/360,12,Doplňující!C28,-B27))</f>
        <v>5.158653948456049E-09</v>
      </c>
      <c r="C28" s="196">
        <f>IF(A28="","",IF(A28&lt;=Číselníky!$G$2,pomocné!$B$60,pomocné!$B$63))</f>
        <v>4449.417540950344</v>
      </c>
      <c r="D28" s="196">
        <f>IF(A28="","",B28*Vstup!$A$20/12*365/360)</f>
        <v>1.3032168950572938E-11</v>
      </c>
      <c r="E28" s="196">
        <f aca="true" t="shared" si="3" ref="E28:E33">IF(A28="","",C28-D28)</f>
        <v>4449.417540950331</v>
      </c>
      <c r="F28" s="196">
        <f aca="true" t="shared" si="4" ref="F28:F33">IF(A28="","",F27)</f>
        <v>0</v>
      </c>
      <c r="G28" s="196">
        <f>IF(A28="","",pomocné!$C$38*MAX(0,D28-F28))</f>
        <v>1.9548253425859408E-12</v>
      </c>
      <c r="H28" s="196">
        <f aca="true" t="shared" si="5" ref="H28:H33">IF(A28="","",C28-F28-G28)</f>
        <v>4449.417540950342</v>
      </c>
      <c r="I28" s="197">
        <f>IF(A28="","",H28/((1+Nastavení!$B$62)^Doplňující!A28))</f>
        <v>2994.330454087728</v>
      </c>
    </row>
    <row r="29" spans="1:9" ht="12.75">
      <c r="A29" s="194">
        <f>IF(A28&lt;Číselníky!$D$1,Doplňující!A28+1,"")</f>
      </c>
      <c r="B29" s="195">
        <f>IF(A29="","",FV(Vstup!$A$20/12*365/360,12,Doplňující!C29,-B28))</f>
      </c>
      <c r="C29" s="196">
        <f>IF(A29="","",IF(A29&lt;=Číselníky!$G$2,pomocné!$B$60,pomocné!$B$63))</f>
      </c>
      <c r="D29" s="196">
        <f>IF(A29="","",B29*Vstup!$A$20/12*365/360)</f>
      </c>
      <c r="E29" s="196">
        <f t="shared" si="3"/>
      </c>
      <c r="F29" s="196">
        <f t="shared" si="4"/>
      </c>
      <c r="G29" s="196">
        <f>IF(A29="","",pomocné!$C$38*MAX(0,D29-F29))</f>
      </c>
      <c r="H29" s="196">
        <f t="shared" si="5"/>
      </c>
      <c r="I29" s="197">
        <f>IF(A29="","",H29/((1+Nastavení!$B$62)^Doplňující!A29))</f>
      </c>
    </row>
    <row r="30" spans="1:9" ht="12.75">
      <c r="A30" s="194">
        <f>IF(A29&lt;Číselníky!$D$1,Doplňující!A29+1,"")</f>
      </c>
      <c r="B30" s="195">
        <f>IF(A30="","",FV(Vstup!$A$20/12*365/360,12,Doplňující!C30,-B29))</f>
      </c>
      <c r="C30" s="196">
        <f>IF(A30="","",IF(A30&lt;=Číselníky!$G$2,pomocné!$B$60,pomocné!$B$63))</f>
      </c>
      <c r="D30" s="196">
        <f>IF(A30="","",B30*Vstup!$A$20/12*365/360)</f>
      </c>
      <c r="E30" s="196">
        <f t="shared" si="3"/>
      </c>
      <c r="F30" s="196">
        <f t="shared" si="4"/>
      </c>
      <c r="G30" s="196">
        <f>IF(A30="","",pomocné!$C$38*MAX(0,D30-F30))</f>
      </c>
      <c r="H30" s="196">
        <f t="shared" si="5"/>
      </c>
      <c r="I30" s="197">
        <f>IF(A30="","",H30/((1+Nastavení!$B$62)^Doplňující!A30))</f>
      </c>
    </row>
    <row r="31" spans="1:9" ht="12.75">
      <c r="A31" s="194">
        <f>IF(A30&lt;Číselníky!$D$1,Doplňující!A30+1,"")</f>
      </c>
      <c r="B31" s="195">
        <f>IF(A31="","",FV(Vstup!$A$20/12*365/360,12,Doplňující!C31,-B30))</f>
      </c>
      <c r="C31" s="196">
        <f>IF(A31="","",IF(A31&lt;=Číselníky!$G$2,pomocné!$B$60,pomocné!$B$63))</f>
      </c>
      <c r="D31" s="196">
        <f>IF(A31="","",B31*Vstup!$A$20/12*365/360)</f>
      </c>
      <c r="E31" s="196">
        <f t="shared" si="3"/>
      </c>
      <c r="F31" s="196">
        <f t="shared" si="4"/>
      </c>
      <c r="G31" s="196">
        <f>IF(A31="","",pomocné!$C$38*MAX(0,D31-F31))</f>
      </c>
      <c r="H31" s="196">
        <f t="shared" si="5"/>
      </c>
      <c r="I31" s="197">
        <f>IF(A31="","",H31/((1+Nastavení!$B$62)^Doplňující!A31))</f>
      </c>
    </row>
    <row r="32" spans="1:9" ht="12.75">
      <c r="A32" s="194">
        <f>IF(A31&lt;Číselníky!$D$1,Doplňující!A31+1,"")</f>
      </c>
      <c r="B32" s="195">
        <f>IF(A32="","",FV(Vstup!$A$20/12*365/360,12,Doplňující!C32,-B31))</f>
      </c>
      <c r="C32" s="196">
        <f>IF(A32="","",IF(A32&lt;=Číselníky!$G$2,pomocné!$B$60,pomocné!$B$63))</f>
      </c>
      <c r="D32" s="196">
        <f>IF(A32="","",B32*Vstup!$A$20/12*365/360)</f>
      </c>
      <c r="E32" s="196">
        <f t="shared" si="3"/>
      </c>
      <c r="F32" s="196">
        <f t="shared" si="4"/>
      </c>
      <c r="G32" s="196">
        <f>IF(A32="","",pomocné!$C$38*MAX(0,D32-F32))</f>
      </c>
      <c r="H32" s="196">
        <f t="shared" si="5"/>
      </c>
      <c r="I32" s="197">
        <f>IF(A32="","",H32/((1+Nastavení!$B$62)^Doplňující!A32))</f>
      </c>
    </row>
    <row r="33" spans="1:9" ht="13.5" thickBot="1">
      <c r="A33" s="198">
        <f>IF(A32&lt;Číselníky!$D$1,Doplňující!A32+1,"")</f>
      </c>
      <c r="B33" s="199">
        <f>IF(A33="","",FV(Vstup!$A$20/12*365/360,12,Doplňující!C33,-B32))</f>
      </c>
      <c r="C33" s="200">
        <f>IF(A33="","",IF(A33&lt;=Číselníky!$G$2,pomocné!$B$60,pomocné!$B$63))</f>
      </c>
      <c r="D33" s="200">
        <f>IF(A33="","",B33*Vstup!$A$20/12*365/360)</f>
      </c>
      <c r="E33" s="200">
        <f t="shared" si="3"/>
      </c>
      <c r="F33" s="200">
        <f t="shared" si="4"/>
      </c>
      <c r="G33" s="200">
        <f>IF(A33="","",pomocné!$C$38*MAX(0,D33-F33))</f>
      </c>
      <c r="H33" s="200">
        <f t="shared" si="5"/>
      </c>
      <c r="I33" s="201">
        <f>IF(A33="","",H33/((1+Nastavení!$B$62)^Doplňující!A33))</f>
      </c>
    </row>
    <row r="34" spans="1:9" ht="12.75">
      <c r="A34" s="202"/>
      <c r="B34" s="203"/>
      <c r="C34" s="204"/>
      <c r="D34" s="204"/>
      <c r="E34" s="204"/>
      <c r="F34" s="204"/>
      <c r="G34" s="204"/>
      <c r="H34" s="204"/>
      <c r="I34" s="204"/>
    </row>
    <row r="35" spans="1:9" ht="12.75">
      <c r="A35" s="205"/>
      <c r="B35" s="205"/>
      <c r="C35" s="205"/>
      <c r="D35" s="205"/>
      <c r="E35" s="205"/>
      <c r="F35" s="205"/>
      <c r="G35" s="205"/>
      <c r="H35" s="205"/>
      <c r="I35" s="205"/>
    </row>
    <row r="36" spans="1:9" ht="12.75">
      <c r="A36" s="205"/>
      <c r="B36" s="205"/>
      <c r="C36" s="205"/>
      <c r="D36" s="205"/>
      <c r="E36" s="205"/>
      <c r="F36" s="205"/>
      <c r="G36" s="205"/>
      <c r="H36" s="205"/>
      <c r="I36" s="205"/>
    </row>
    <row r="37" spans="1:9" ht="12.75">
      <c r="A37" s="205"/>
      <c r="B37" s="205"/>
      <c r="C37" s="205"/>
      <c r="D37" s="205"/>
      <c r="E37" s="205"/>
      <c r="F37" s="205"/>
      <c r="G37" s="205"/>
      <c r="H37" s="205"/>
      <c r="I37" s="205"/>
    </row>
    <row r="38" spans="1:9" ht="12.75">
      <c r="A38" s="205"/>
      <c r="B38" s="205"/>
      <c r="C38" s="205"/>
      <c r="D38" s="205"/>
      <c r="E38" s="205"/>
      <c r="F38" s="205"/>
      <c r="G38" s="205"/>
      <c r="H38" s="205"/>
      <c r="I38" s="205"/>
    </row>
    <row r="39" spans="1:9" ht="12.75">
      <c r="A39" s="205"/>
      <c r="B39" s="205"/>
      <c r="C39" s="205"/>
      <c r="D39" s="205"/>
      <c r="E39" s="205"/>
      <c r="F39" s="205"/>
      <c r="G39" s="205"/>
      <c r="H39" s="205"/>
      <c r="I39" s="205"/>
    </row>
    <row r="40" spans="1:9" ht="12.75">
      <c r="A40" s="205"/>
      <c r="B40" s="205"/>
      <c r="C40" s="205"/>
      <c r="D40" s="205"/>
      <c r="E40" s="205"/>
      <c r="F40" s="205"/>
      <c r="G40" s="205"/>
      <c r="H40" s="205"/>
      <c r="I40" s="205"/>
    </row>
    <row r="49" ht="12.75"/>
    <row r="50" ht="12.75"/>
    <row r="51" ht="12.75"/>
    <row r="52" ht="12.75">
      <c r="J52" s="206"/>
    </row>
    <row r="77" ht="12.75"/>
    <row r="102" ht="12.75"/>
    <row r="103" ht="12.75"/>
    <row r="104" ht="12.75"/>
    <row r="106" ht="12.75"/>
    <row r="107" ht="12.75"/>
    <row r="135" ht="12.75"/>
    <row r="136" ht="12.75"/>
    <row r="137" ht="12.75"/>
    <row r="160" ht="12.75"/>
    <row r="161" ht="12.75"/>
    <row r="162" ht="12.75"/>
  </sheetData>
  <sheetProtection password="CAF5" sheet="1" objects="1" scenarios="1"/>
  <printOptions/>
  <pageMargins left="0.75" right="0.75" top="1" bottom="1" header="0.4921259845" footer="0.4921259845"/>
  <pageSetup horizontalDpi="600" verticalDpi="600" orientation="portrait" paperSize="9" r:id="rId10"/>
  <drawing r:id="rId9"/>
  <legacyDrawing r:id="rId8"/>
  <oleObjects>
    <oleObject progId="Word.Document.8" shapeId="2145634" r:id="rId1"/>
    <oleObject progId="Word.Document.8" shapeId="2150242" r:id="rId2"/>
    <oleObject progId="Word.Document.8" shapeId="2195291" r:id="rId3"/>
    <oleObject progId="Word.Document.8" shapeId="2198055" r:id="rId4"/>
    <oleObject progId="MSPhotoEd.3" shapeId="1510895" r:id="rId5"/>
    <oleObject progId="MSPhotoEd.3" shapeId="1513705" r:id="rId6"/>
    <oleObject progId="MSPhotoEd.3" shapeId="1514934" r:id="rId7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2:E4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39.00390625" style="69" customWidth="1"/>
    <col min="2" max="2" width="9.375" style="69" customWidth="1"/>
    <col min="3" max="3" width="14.125" style="69" customWidth="1"/>
    <col min="4" max="4" width="12.375" style="69" customWidth="1"/>
    <col min="5" max="5" width="7.25390625" style="69" customWidth="1"/>
    <col min="6" max="16384" width="9.125" style="69" customWidth="1"/>
  </cols>
  <sheetData>
    <row r="2" spans="1:5" ht="23.25">
      <c r="A2" s="230" t="s">
        <v>199</v>
      </c>
      <c r="B2" s="230"/>
      <c r="C2" s="230"/>
      <c r="D2" s="230"/>
      <c r="E2" s="230"/>
    </row>
    <row r="3" spans="1:5" ht="24" thickBot="1">
      <c r="A3" s="91"/>
      <c r="B3" s="89"/>
      <c r="C3" s="89"/>
      <c r="D3" s="89"/>
      <c r="E3" s="89"/>
    </row>
    <row r="4" spans="1:5" ht="13.5" thickBot="1">
      <c r="A4" s="124" t="s">
        <v>156</v>
      </c>
      <c r="B4" s="124"/>
      <c r="C4" s="124"/>
      <c r="D4" s="124"/>
      <c r="E4" s="124"/>
    </row>
    <row r="5" spans="1:5" ht="12.75">
      <c r="A5" s="90"/>
      <c r="B5" s="90"/>
      <c r="C5" s="90"/>
      <c r="D5" s="90"/>
      <c r="E5" s="90"/>
    </row>
    <row r="6" spans="1:5" ht="12.75">
      <c r="A6" s="90"/>
      <c r="B6" s="90"/>
      <c r="C6" s="90"/>
      <c r="D6" s="90"/>
      <c r="E6" s="90"/>
    </row>
    <row r="7" spans="1:5" ht="12.75">
      <c r="A7" s="151" t="s">
        <v>163</v>
      </c>
      <c r="B7" s="152" t="s">
        <v>164</v>
      </c>
      <c r="C7" s="152" t="s">
        <v>165</v>
      </c>
      <c r="D7" s="152" t="s">
        <v>166</v>
      </c>
      <c r="E7" s="90"/>
    </row>
    <row r="8" spans="1:5" ht="15.75">
      <c r="A8" s="173"/>
      <c r="B8" s="174"/>
      <c r="C8" s="174"/>
      <c r="D8" s="175"/>
      <c r="E8" s="90"/>
    </row>
    <row r="9" spans="1:5" ht="12.75">
      <c r="A9" s="231" t="s">
        <v>167</v>
      </c>
      <c r="B9" s="232"/>
      <c r="C9" s="232"/>
      <c r="D9" s="233"/>
      <c r="E9" s="90"/>
    </row>
    <row r="10" spans="1:5" ht="12.75">
      <c r="A10" s="160" t="s">
        <v>169</v>
      </c>
      <c r="B10" s="171" t="s">
        <v>184</v>
      </c>
      <c r="C10" s="172">
        <v>0.0299</v>
      </c>
      <c r="D10" s="171" t="s">
        <v>185</v>
      </c>
      <c r="E10" s="90"/>
    </row>
    <row r="11" spans="1:5" ht="12.75">
      <c r="A11" s="153" t="s">
        <v>170</v>
      </c>
      <c r="B11" s="154" t="s">
        <v>184</v>
      </c>
      <c r="C11" s="155">
        <v>0.0399</v>
      </c>
      <c r="D11" s="154" t="s">
        <v>186</v>
      </c>
      <c r="E11" s="90"/>
    </row>
    <row r="12" spans="1:5" ht="12.75">
      <c r="A12" s="162" t="s">
        <v>168</v>
      </c>
      <c r="B12" s="163" t="s">
        <v>183</v>
      </c>
      <c r="C12" s="163" t="s">
        <v>183</v>
      </c>
      <c r="D12" s="164" t="s">
        <v>183</v>
      </c>
      <c r="E12" s="90"/>
    </row>
    <row r="13" spans="1:5" ht="15.75" customHeight="1">
      <c r="A13" s="227" t="s">
        <v>171</v>
      </c>
      <c r="B13" s="228"/>
      <c r="C13" s="228"/>
      <c r="D13" s="229"/>
      <c r="E13" s="90"/>
    </row>
    <row r="14" spans="1:5" ht="12.75">
      <c r="A14" s="156" t="s">
        <v>172</v>
      </c>
      <c r="B14" s="161" t="s">
        <v>174</v>
      </c>
      <c r="C14" s="170">
        <v>0.0499</v>
      </c>
      <c r="D14" s="161" t="s">
        <v>187</v>
      </c>
      <c r="E14" s="90"/>
    </row>
    <row r="15" spans="1:5" ht="12.75">
      <c r="A15" s="147" t="s">
        <v>173</v>
      </c>
      <c r="B15" s="148" t="s">
        <v>174</v>
      </c>
      <c r="C15" s="149">
        <v>0.0549</v>
      </c>
      <c r="D15" s="149">
        <v>0.0699</v>
      </c>
      <c r="E15" s="90"/>
    </row>
    <row r="16" spans="1:5" ht="17.25">
      <c r="A16" s="157" t="s">
        <v>175</v>
      </c>
      <c r="B16" s="158"/>
      <c r="C16" s="159">
        <v>0.0599</v>
      </c>
      <c r="D16" s="159">
        <v>0.0749</v>
      </c>
      <c r="E16" s="90"/>
    </row>
    <row r="17" spans="1:5" ht="12.75">
      <c r="A17" s="167" t="s">
        <v>168</v>
      </c>
      <c r="B17" s="168" t="s">
        <v>183</v>
      </c>
      <c r="C17" s="168" t="s">
        <v>183</v>
      </c>
      <c r="D17" s="169" t="s">
        <v>183</v>
      </c>
      <c r="E17" s="90"/>
    </row>
    <row r="18" spans="1:5" ht="12.75">
      <c r="A18" s="231" t="s">
        <v>176</v>
      </c>
      <c r="B18" s="232"/>
      <c r="C18" s="232"/>
      <c r="D18" s="233"/>
      <c r="E18" s="90"/>
    </row>
    <row r="19" spans="1:5" ht="12.75">
      <c r="A19" s="165" t="s">
        <v>172</v>
      </c>
      <c r="B19" s="166" t="s">
        <v>184</v>
      </c>
      <c r="C19" s="166" t="s">
        <v>186</v>
      </c>
      <c r="D19" s="166" t="s">
        <v>187</v>
      </c>
      <c r="E19" s="90"/>
    </row>
    <row r="20" spans="1:5" ht="12.75">
      <c r="A20" s="162" t="s">
        <v>168</v>
      </c>
      <c r="B20" s="163" t="s">
        <v>183</v>
      </c>
      <c r="C20" s="163" t="s">
        <v>183</v>
      </c>
      <c r="D20" s="164" t="s">
        <v>183</v>
      </c>
      <c r="E20" s="90"/>
    </row>
    <row r="21" spans="1:5" ht="12.75">
      <c r="A21" s="227" t="s">
        <v>177</v>
      </c>
      <c r="B21" s="228"/>
      <c r="C21" s="228"/>
      <c r="D21" s="229"/>
      <c r="E21" s="90"/>
    </row>
    <row r="22" spans="1:5" ht="12.75">
      <c r="A22" s="156" t="s">
        <v>169</v>
      </c>
      <c r="B22" s="161" t="s">
        <v>188</v>
      </c>
      <c r="C22" s="161" t="s">
        <v>184</v>
      </c>
      <c r="D22" s="161" t="s">
        <v>185</v>
      </c>
      <c r="E22" s="90"/>
    </row>
    <row r="23" spans="1:5" ht="12.75">
      <c r="A23" s="147" t="s">
        <v>170</v>
      </c>
      <c r="B23" s="148" t="s">
        <v>189</v>
      </c>
      <c r="C23" s="148" t="s">
        <v>184</v>
      </c>
      <c r="D23" s="148" t="s">
        <v>186</v>
      </c>
      <c r="E23" s="90"/>
    </row>
    <row r="24" spans="1:5" ht="12.75">
      <c r="A24" s="147" t="s">
        <v>172</v>
      </c>
      <c r="B24" s="148" t="s">
        <v>190</v>
      </c>
      <c r="C24" s="148" t="s">
        <v>184</v>
      </c>
      <c r="D24" s="148" t="s">
        <v>187</v>
      </c>
      <c r="E24" s="90"/>
    </row>
    <row r="25" spans="1:5" ht="12.75">
      <c r="A25" s="147" t="s">
        <v>178</v>
      </c>
      <c r="B25" s="148" t="s">
        <v>191</v>
      </c>
      <c r="C25" s="148" t="s">
        <v>184</v>
      </c>
      <c r="D25" s="148" t="s">
        <v>192</v>
      </c>
      <c r="E25" s="90"/>
    </row>
    <row r="26" spans="1:5" ht="12.75">
      <c r="A26" s="147" t="s">
        <v>179</v>
      </c>
      <c r="B26" s="150">
        <v>0.055</v>
      </c>
      <c r="C26" s="148" t="s">
        <v>174</v>
      </c>
      <c r="D26" s="149">
        <v>0.0749</v>
      </c>
      <c r="E26" s="90"/>
    </row>
    <row r="27" spans="1:5" ht="12.75">
      <c r="A27" s="141"/>
      <c r="B27" s="142"/>
      <c r="C27" s="142"/>
      <c r="D27" s="142"/>
      <c r="E27" s="90"/>
    </row>
    <row r="28" spans="1:5" ht="12.75">
      <c r="A28" s="141"/>
      <c r="B28" s="142"/>
      <c r="C28" s="142"/>
      <c r="D28" s="142"/>
      <c r="E28" s="90"/>
    </row>
    <row r="29" spans="1:5" ht="12.75">
      <c r="A29" s="73"/>
      <c r="C29" s="71"/>
      <c r="D29" s="71"/>
      <c r="E29" s="71"/>
    </row>
    <row r="32" spans="1:5" ht="13.5" thickBot="1">
      <c r="A32" s="72"/>
      <c r="B32" s="71"/>
      <c r="C32" s="71"/>
      <c r="D32" s="71"/>
      <c r="E32" s="71"/>
    </row>
    <row r="33" spans="1:5" ht="13.5" thickBot="1">
      <c r="A33" s="124" t="s">
        <v>77</v>
      </c>
      <c r="B33" s="124"/>
      <c r="C33" s="124"/>
      <c r="D33" s="124"/>
      <c r="E33" s="124"/>
    </row>
    <row r="34" spans="1:5" ht="12.75">
      <c r="A34" s="71"/>
      <c r="B34" s="71"/>
      <c r="C34" s="71"/>
      <c r="D34" s="71"/>
      <c r="E34" s="71"/>
    </row>
    <row r="35" spans="1:5" ht="12.75">
      <c r="A35" s="77" t="s">
        <v>159</v>
      </c>
      <c r="B35" s="138">
        <v>150</v>
      </c>
      <c r="C35" s="77"/>
      <c r="D35" s="77"/>
      <c r="E35" s="77"/>
    </row>
    <row r="36" spans="1:5" ht="12.75">
      <c r="A36" s="70"/>
      <c r="B36" s="71"/>
      <c r="C36" s="71"/>
      <c r="D36" s="71"/>
      <c r="E36" s="71"/>
    </row>
    <row r="37" ht="12.75">
      <c r="A37" s="146" t="s">
        <v>160</v>
      </c>
    </row>
    <row r="38" spans="1:5" ht="12.75">
      <c r="A38" s="77" t="s">
        <v>64</v>
      </c>
      <c r="B38" s="139">
        <v>0.009</v>
      </c>
      <c r="C38" s="77" t="s">
        <v>180</v>
      </c>
      <c r="D38" s="77"/>
      <c r="E38" s="77"/>
    </row>
    <row r="39" spans="1:5" ht="12.75">
      <c r="A39" s="103" t="s">
        <v>182</v>
      </c>
      <c r="B39" s="138">
        <v>9500</v>
      </c>
      <c r="C39" s="77"/>
      <c r="D39" s="77"/>
      <c r="E39" s="77"/>
    </row>
    <row r="40" spans="1:5" ht="12.75">
      <c r="A40" s="103" t="s">
        <v>181</v>
      </c>
      <c r="B40" s="138">
        <v>25000</v>
      </c>
      <c r="C40" s="77"/>
      <c r="D40" s="77"/>
      <c r="E40" s="77"/>
    </row>
    <row r="41" ht="12.75">
      <c r="A41" s="146" t="s">
        <v>161</v>
      </c>
    </row>
    <row r="42" spans="1:5" ht="12.75">
      <c r="A42" s="77" t="s">
        <v>162</v>
      </c>
      <c r="B42" s="138">
        <v>35000</v>
      </c>
      <c r="C42" s="77"/>
      <c r="D42" s="77"/>
      <c r="E42" s="77"/>
    </row>
    <row r="51" ht="12.75"/>
    <row r="52" ht="12.75"/>
  </sheetData>
  <sheetProtection password="CAF5" sheet="1" objects="1" scenarios="1"/>
  <mergeCells count="5">
    <mergeCell ref="A21:D21"/>
    <mergeCell ref="A2:E2"/>
    <mergeCell ref="A9:D9"/>
    <mergeCell ref="A13:D13"/>
    <mergeCell ref="A18:D18"/>
  </mergeCells>
  <printOptions/>
  <pageMargins left="0.75" right="0.75" top="1" bottom="1" header="0.4921259845" footer="0.4921259845"/>
  <pageSetup horizontalDpi="600" verticalDpi="600" orientation="portrait" paperSize="9" r:id="rId3"/>
  <legacyDrawing r:id="rId2"/>
  <oleObjects>
    <oleObject progId="MSPhotoEd.3" shapeId="1066959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2:F62"/>
  <sheetViews>
    <sheetView workbookViewId="0" topLeftCell="A1">
      <selection activeCell="A4" sqref="A4"/>
    </sheetView>
  </sheetViews>
  <sheetFormatPr defaultColWidth="9.00390625" defaultRowHeight="12.75"/>
  <cols>
    <col min="3" max="3" width="9.375" style="0" customWidth="1"/>
  </cols>
  <sheetData>
    <row r="2" ht="12.75">
      <c r="A2" s="1" t="s">
        <v>65</v>
      </c>
    </row>
    <row r="3" spans="1:2" ht="12.75">
      <c r="A3" s="5">
        <v>0.01</v>
      </c>
      <c r="B3" t="s">
        <v>66</v>
      </c>
    </row>
    <row r="4" spans="1:2" ht="12.75">
      <c r="A4">
        <v>10</v>
      </c>
      <c r="B4" t="s">
        <v>146</v>
      </c>
    </row>
    <row r="5" spans="1:2" ht="12.75">
      <c r="A5" s="6">
        <v>800000</v>
      </c>
      <c r="B5" t="s">
        <v>67</v>
      </c>
    </row>
    <row r="6" spans="1:2" ht="12.75">
      <c r="A6" s="6">
        <v>1500000</v>
      </c>
      <c r="B6" t="s">
        <v>68</v>
      </c>
    </row>
    <row r="8" ht="12.75">
      <c r="A8" s="1" t="s">
        <v>69</v>
      </c>
    </row>
    <row r="9" spans="1:2" ht="12.75">
      <c r="A9" s="5">
        <v>0.81</v>
      </c>
      <c r="B9" t="s">
        <v>70</v>
      </c>
    </row>
    <row r="12" ht="12.75">
      <c r="A12" s="1" t="s">
        <v>71</v>
      </c>
    </row>
    <row r="13" spans="1:2" ht="12.75">
      <c r="A13" s="7">
        <v>1.5</v>
      </c>
      <c r="B13" t="s">
        <v>72</v>
      </c>
    </row>
    <row r="14" spans="1:5" ht="12.75">
      <c r="A14" s="7" t="s">
        <v>73</v>
      </c>
      <c r="B14" s="11">
        <v>60000</v>
      </c>
      <c r="C14" t="s">
        <v>74</v>
      </c>
      <c r="D14" s="5">
        <v>0.5</v>
      </c>
      <c r="E14" t="s">
        <v>75</v>
      </c>
    </row>
    <row r="15" spans="1:5" ht="12.75">
      <c r="A15" s="7" t="s">
        <v>76</v>
      </c>
      <c r="B15" s="11">
        <v>60000</v>
      </c>
      <c r="C15" t="s">
        <v>74</v>
      </c>
      <c r="D15" s="5">
        <v>0.6</v>
      </c>
      <c r="E15" t="s">
        <v>75</v>
      </c>
    </row>
    <row r="18" ht="12.75">
      <c r="A18" s="1" t="s">
        <v>77</v>
      </c>
    </row>
    <row r="19" ht="12.75">
      <c r="A19" t="s">
        <v>78</v>
      </c>
    </row>
    <row r="20" spans="3:4" ht="13.5" thickBot="1">
      <c r="C20" t="s">
        <v>79</v>
      </c>
      <c r="D20" t="s">
        <v>80</v>
      </c>
    </row>
    <row r="21" spans="2:6" ht="12.75">
      <c r="B21" s="8" t="s">
        <v>81</v>
      </c>
      <c r="C21" s="43">
        <v>0.005</v>
      </c>
      <c r="D21" s="45">
        <v>0.01</v>
      </c>
      <c r="E21" s="40" t="s">
        <v>82</v>
      </c>
      <c r="F21" s="9"/>
    </row>
    <row r="22" spans="2:6" ht="13.5" thickBot="1">
      <c r="B22" s="41"/>
      <c r="C22" s="44">
        <v>9500</v>
      </c>
      <c r="D22" s="44">
        <v>9500</v>
      </c>
      <c r="E22" s="42" t="s">
        <v>83</v>
      </c>
      <c r="F22" s="10"/>
    </row>
    <row r="23" spans="2:6" ht="12.75">
      <c r="B23" s="8" t="s">
        <v>84</v>
      </c>
      <c r="C23" s="43">
        <v>0.005</v>
      </c>
      <c r="D23" s="45">
        <v>0.01</v>
      </c>
      <c r="E23" s="40" t="s">
        <v>82</v>
      </c>
      <c r="F23" s="9"/>
    </row>
    <row r="24" spans="2:6" ht="13.5" thickBot="1">
      <c r="B24" s="41"/>
      <c r="C24" s="44">
        <v>3000</v>
      </c>
      <c r="D24" s="44">
        <v>6000</v>
      </c>
      <c r="E24" s="42" t="s">
        <v>83</v>
      </c>
      <c r="F24" s="10"/>
    </row>
    <row r="25" ht="12.75">
      <c r="B25" s="11"/>
    </row>
    <row r="26" ht="12.75">
      <c r="B26" s="11"/>
    </row>
    <row r="27" ht="12.75">
      <c r="A27" t="s">
        <v>85</v>
      </c>
    </row>
    <row r="28" spans="1:3" ht="12.75">
      <c r="A28" s="6"/>
      <c r="B28" t="s">
        <v>86</v>
      </c>
      <c r="C28" s="11">
        <v>150</v>
      </c>
    </row>
    <row r="29" spans="1:3" ht="12.75">
      <c r="A29" s="6"/>
      <c r="B29" t="s">
        <v>87</v>
      </c>
      <c r="C29" s="11">
        <v>110</v>
      </c>
    </row>
    <row r="31" ht="12.75">
      <c r="A31" s="1" t="s">
        <v>88</v>
      </c>
    </row>
    <row r="32" ht="12.75">
      <c r="A32" t="s">
        <v>89</v>
      </c>
    </row>
    <row r="33" spans="1:3" ht="12.75">
      <c r="A33" t="s">
        <v>34</v>
      </c>
      <c r="C33" s="11">
        <v>1690</v>
      </c>
    </row>
    <row r="34" spans="1:3" ht="12.75">
      <c r="A34" t="s">
        <v>35</v>
      </c>
      <c r="C34" s="11">
        <v>1890</v>
      </c>
    </row>
    <row r="35" spans="1:3" ht="12.75">
      <c r="A35" t="s">
        <v>36</v>
      </c>
      <c r="C35" s="11">
        <v>2230</v>
      </c>
    </row>
    <row r="36" spans="1:3" ht="12.75">
      <c r="A36" t="s">
        <v>37</v>
      </c>
      <c r="C36" s="11">
        <v>2450</v>
      </c>
    </row>
    <row r="37" spans="1:3" ht="12.75">
      <c r="A37" t="s">
        <v>38</v>
      </c>
      <c r="C37" s="11">
        <v>2320</v>
      </c>
    </row>
    <row r="39" spans="1:3" ht="12.75">
      <c r="A39" t="s">
        <v>90</v>
      </c>
      <c r="C39" s="11"/>
    </row>
    <row r="40" ht="12.75">
      <c r="A40" t="s">
        <v>91</v>
      </c>
    </row>
    <row r="41" spans="2:3" ht="12.75">
      <c r="B41">
        <v>1</v>
      </c>
      <c r="C41" s="11">
        <v>1780</v>
      </c>
    </row>
    <row r="42" spans="2:3" ht="12.75">
      <c r="B42">
        <v>2</v>
      </c>
      <c r="C42" s="11">
        <v>2320</v>
      </c>
    </row>
    <row r="43" spans="2:3" ht="12.75">
      <c r="B43" t="s">
        <v>92</v>
      </c>
      <c r="C43" s="11">
        <v>2880</v>
      </c>
    </row>
    <row r="44" spans="2:3" ht="12.75">
      <c r="B44" t="s">
        <v>93</v>
      </c>
      <c r="C44" s="11">
        <v>3230</v>
      </c>
    </row>
    <row r="48" ht="12.75">
      <c r="A48" s="1" t="s">
        <v>94</v>
      </c>
    </row>
    <row r="50" spans="1:3" ht="12.75">
      <c r="A50" t="s">
        <v>95</v>
      </c>
      <c r="C50" s="11">
        <v>38040</v>
      </c>
    </row>
    <row r="51" spans="1:4" ht="12.75">
      <c r="A51" t="s">
        <v>96</v>
      </c>
      <c r="C51" t="s">
        <v>97</v>
      </c>
      <c r="D51" t="s">
        <v>98</v>
      </c>
    </row>
    <row r="52" spans="1:3" ht="12.75">
      <c r="A52">
        <v>0</v>
      </c>
      <c r="B52">
        <v>109200</v>
      </c>
      <c r="C52" s="5">
        <v>0.15</v>
      </c>
    </row>
    <row r="53" spans="1:4" ht="12.75">
      <c r="A53">
        <v>109200</v>
      </c>
      <c r="B53">
        <v>218400</v>
      </c>
      <c r="C53" s="5">
        <v>0.2</v>
      </c>
      <c r="D53" s="11">
        <v>16380</v>
      </c>
    </row>
    <row r="54" spans="1:4" ht="12.75">
      <c r="A54">
        <v>218400</v>
      </c>
      <c r="B54">
        <v>331200</v>
      </c>
      <c r="C54" s="5">
        <v>0.25</v>
      </c>
      <c r="D54" s="11">
        <v>38220</v>
      </c>
    </row>
    <row r="55" spans="1:4" ht="12.75">
      <c r="A55">
        <v>331200</v>
      </c>
      <c r="C55" s="5">
        <v>0.32</v>
      </c>
      <c r="D55" s="11">
        <v>66420</v>
      </c>
    </row>
    <row r="58" ht="12.75">
      <c r="A58" s="1" t="s">
        <v>99</v>
      </c>
    </row>
    <row r="59" spans="1:2" ht="12.75">
      <c r="A59" s="6">
        <v>1000000</v>
      </c>
      <c r="B59" t="s">
        <v>100</v>
      </c>
    </row>
    <row r="60" spans="1:2" ht="12.75">
      <c r="A60" s="6">
        <v>1500000</v>
      </c>
      <c r="B60" t="s">
        <v>68</v>
      </c>
    </row>
    <row r="62" spans="1:2" ht="12.75">
      <c r="A62" s="1" t="s">
        <v>101</v>
      </c>
      <c r="B62" s="3">
        <v>0.02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I51"/>
  <sheetViews>
    <sheetView workbookViewId="0" topLeftCell="A1">
      <selection activeCell="D14" sqref="D14"/>
    </sheetView>
  </sheetViews>
  <sheetFormatPr defaultColWidth="9.00390625" defaultRowHeight="12.75"/>
  <cols>
    <col min="1" max="1" width="9.625" style="0" bestFit="1" customWidth="1"/>
    <col min="2" max="2" width="13.25390625" style="0" customWidth="1"/>
    <col min="3" max="3" width="9.375" style="0" customWidth="1"/>
    <col min="4" max="4" width="12.00390625" style="0" customWidth="1"/>
    <col min="8" max="9" width="12.00390625" style="0" customWidth="1"/>
  </cols>
  <sheetData>
    <row r="3" spans="1:5" ht="12.75">
      <c r="A3" s="1" t="s">
        <v>102</v>
      </c>
      <c r="E3" s="1" t="s">
        <v>103</v>
      </c>
    </row>
    <row r="5" spans="1:8" ht="12.75">
      <c r="A5" t="str">
        <f>Nastavení!A13&amp;" nás ŽM"</f>
        <v>1,5 nás ŽM</v>
      </c>
      <c r="B5" s="11">
        <f>Nastavení!A13*(Vstup!D42+Vstup!E42)</f>
        <v>13815</v>
      </c>
      <c r="E5" t="s">
        <v>104</v>
      </c>
      <c r="H5" s="11">
        <f>Vstup!D9</f>
        <v>800000</v>
      </c>
    </row>
    <row r="6" spans="1:8" ht="12.75">
      <c r="A6" t="s">
        <v>105</v>
      </c>
      <c r="B6" s="11">
        <f>Výstup!D31</f>
        <v>5305.890392780493</v>
      </c>
      <c r="E6" t="s">
        <v>106</v>
      </c>
      <c r="H6" s="11">
        <f>Vstup!D9/Nastavení!A9</f>
        <v>987654.3209876543</v>
      </c>
    </row>
    <row r="7" spans="1:8" ht="12.75">
      <c r="A7" t="s">
        <v>40</v>
      </c>
      <c r="B7" s="11">
        <f>Vstup!D43+Vstup!E43</f>
        <v>0</v>
      </c>
      <c r="E7" t="s">
        <v>107</v>
      </c>
      <c r="H7" s="11">
        <f>Vstup!D13</f>
        <v>1600000</v>
      </c>
    </row>
    <row r="8" spans="1:2" ht="12.75">
      <c r="A8" t="s">
        <v>108</v>
      </c>
      <c r="B8" s="11">
        <f>(Vstup!D33+Vstup!E33)-SUM(pom_grafy!B5:B7)</f>
        <v>3879.109607219507</v>
      </c>
    </row>
    <row r="11" ht="12.75">
      <c r="A11" s="4" t="s">
        <v>109</v>
      </c>
    </row>
    <row r="12" ht="13.5" thickBot="1"/>
    <row r="13" spans="1:9" ht="39" thickBot="1">
      <c r="A13" s="57" t="s">
        <v>56</v>
      </c>
      <c r="B13" s="58" t="s">
        <v>57</v>
      </c>
      <c r="C13" s="58" t="s">
        <v>58</v>
      </c>
      <c r="D13" s="58" t="s">
        <v>110</v>
      </c>
      <c r="E13" s="58" t="s">
        <v>111</v>
      </c>
      <c r="F13" s="58" t="s">
        <v>44</v>
      </c>
      <c r="G13" s="58" t="s">
        <v>61</v>
      </c>
      <c r="H13" s="58" t="s">
        <v>62</v>
      </c>
      <c r="I13" s="59" t="s">
        <v>63</v>
      </c>
    </row>
    <row r="14" spans="1:9" ht="12.75">
      <c r="A14" s="62">
        <v>0</v>
      </c>
      <c r="B14" s="60">
        <f>Vstup!D9</f>
        <v>800000</v>
      </c>
      <c r="C14" s="60">
        <f>IF(A14&lt;=Číselníky!$G$2,pomocné!$B$60,pomocné!$B$63)</f>
        <v>4449.417540950342</v>
      </c>
      <c r="D14" s="60">
        <f>B14*Vstup!$A$20/12*365/360</f>
        <v>2021.0185185185185</v>
      </c>
      <c r="E14" s="61">
        <f>C14-D14</f>
        <v>2428.399022431824</v>
      </c>
      <c r="F14" s="61">
        <f>Výstup!C6</f>
        <v>0</v>
      </c>
      <c r="G14" s="61">
        <f>pomocné!$C$38*MAX(0,D14-F14)</f>
        <v>303.15277777777777</v>
      </c>
      <c r="H14" s="61">
        <f>C14-F14-G14</f>
        <v>4146.264763172565</v>
      </c>
      <c r="I14" s="51">
        <f>H14</f>
        <v>4146.264763172565</v>
      </c>
    </row>
    <row r="15" spans="1:9" ht="12.75">
      <c r="A15" s="63">
        <f>Číselníky!$D$1/30</f>
        <v>0.6666666666666666</v>
      </c>
      <c r="B15" s="52">
        <f>FV(Vstup!$A$20/12*365/360,(A15-A14)*12,pom_grafy!C15,-B14)</f>
        <v>780400.1627974998</v>
      </c>
      <c r="C15" s="52">
        <f>IF(A15&lt;=Číselníky!$G$2,pomocné!$B$60,pomocné!$B$63)</f>
        <v>4449.417540950342</v>
      </c>
      <c r="D15" s="52">
        <f>B15*Vstup!$A$20/12*365/360</f>
        <v>1971.5039760857671</v>
      </c>
      <c r="E15" s="53">
        <f aca="true" t="shared" si="0" ref="E15:E44">C15-D15</f>
        <v>2477.913564864575</v>
      </c>
      <c r="F15" s="53">
        <f>F14</f>
        <v>0</v>
      </c>
      <c r="G15" s="53">
        <f>pomocné!$C$38*MAX(0,D15-F15)</f>
        <v>295.72559641286506</v>
      </c>
      <c r="H15" s="53">
        <f aca="true" t="shared" si="1" ref="H15:H44">C15-F15-G15</f>
        <v>4153.691944537477</v>
      </c>
      <c r="I15" s="23">
        <f>H15/((1+Nastavení!$B$62)^A15)</f>
        <v>4099.216313616009</v>
      </c>
    </row>
    <row r="16" spans="1:9" ht="12.75">
      <c r="A16" s="63">
        <f>A15+$A$15</f>
        <v>1.3333333333333333</v>
      </c>
      <c r="B16" s="52">
        <f>FV(Vstup!$A$20/12*365/360,(A16-A15)*12,pom_grafy!C16,-B15)</f>
        <v>760400.6890600341</v>
      </c>
      <c r="C16" s="52">
        <f>IF(A16&lt;=Číselníky!$G$2,pomocné!$B$60,pomocné!$B$63)</f>
        <v>4449.417540950342</v>
      </c>
      <c r="D16" s="52">
        <f>B16*Vstup!$A$20/12*365/360</f>
        <v>1920.9798426057134</v>
      </c>
      <c r="E16" s="53">
        <f t="shared" si="0"/>
        <v>2528.437698344629</v>
      </c>
      <c r="F16" s="53">
        <f aca="true" t="shared" si="2" ref="F16:F44">F15</f>
        <v>0</v>
      </c>
      <c r="G16" s="53">
        <f>pomocné!$C$38*MAX(0,D16-F16)</f>
        <v>288.146976390857</v>
      </c>
      <c r="H16" s="53">
        <f t="shared" si="1"/>
        <v>4161.270564559485</v>
      </c>
      <c r="I16" s="23">
        <f>H16/((1+Nastavení!$B$62)^A16)</f>
        <v>4052.836266589611</v>
      </c>
    </row>
    <row r="17" spans="1:9" ht="12.75">
      <c r="A17" s="63">
        <f aca="true" t="shared" si="3" ref="A17:A44">A16+$A$15</f>
        <v>2</v>
      </c>
      <c r="B17" s="52">
        <f>FV(Vstup!$A$20/12*365/360,(A17-A16)*12,pom_grafy!C17,-B16)</f>
        <v>739993.4302831828</v>
      </c>
      <c r="C17" s="52">
        <f>IF(A17&lt;=Číselníky!$G$2,pomocné!$B$60,pomocné!$B$63)</f>
        <v>4449.417540950342</v>
      </c>
      <c r="D17" s="52">
        <f>B17*Vstup!$A$20/12*365/360</f>
        <v>1869.4255327304434</v>
      </c>
      <c r="E17" s="53">
        <f t="shared" si="0"/>
        <v>2579.9920082198987</v>
      </c>
      <c r="F17" s="53">
        <f t="shared" si="2"/>
        <v>0</v>
      </c>
      <c r="G17" s="53">
        <f>pomocné!$C$38*MAX(0,D17-F17)</f>
        <v>280.4138299095665</v>
      </c>
      <c r="H17" s="53">
        <f t="shared" si="1"/>
        <v>4169.003711040776</v>
      </c>
      <c r="I17" s="23">
        <f>H17/((1+Nastavení!$B$62)^A17)</f>
        <v>4007.1162159177006</v>
      </c>
    </row>
    <row r="18" spans="1:9" ht="12.75">
      <c r="A18" s="63">
        <f t="shared" si="3"/>
        <v>2.6666666666666665</v>
      </c>
      <c r="B18" s="52">
        <f>FV(Vstup!$A$20/12*365/360,(A18-A17)*12,pom_grafy!C18,-B17)</f>
        <v>719170.0718162439</v>
      </c>
      <c r="C18" s="52">
        <f>IF(A18&lt;=Číselníky!$G$2,pomocné!$B$60,pomocné!$B$63)</f>
        <v>4449.417540950342</v>
      </c>
      <c r="D18" s="52">
        <f>B18*Vstup!$A$20/12*365/360</f>
        <v>1816.8200413811521</v>
      </c>
      <c r="E18" s="53">
        <f t="shared" si="0"/>
        <v>2632.5974995691904</v>
      </c>
      <c r="F18" s="53">
        <f t="shared" si="2"/>
        <v>0</v>
      </c>
      <c r="G18" s="53">
        <f>pomocné!$C$38*MAX(0,D18-F18)</f>
        <v>272.5230062071728</v>
      </c>
      <c r="H18" s="53">
        <f t="shared" si="1"/>
        <v>4176.894534743169</v>
      </c>
      <c r="I18" s="23">
        <f>H18/((1+Nastavení!$B$62)^A18)</f>
        <v>3962.047868193602</v>
      </c>
    </row>
    <row r="19" spans="1:9" ht="12.75">
      <c r="A19" s="63">
        <f t="shared" si="3"/>
        <v>3.333333333333333</v>
      </c>
      <c r="B19" s="52">
        <f>FV(Vstup!$A$20/12*365/360,(A19-A18)*12,pom_grafy!C19,-B18)</f>
        <v>697922.1294745468</v>
      </c>
      <c r="C19" s="52">
        <f>IF(A19&lt;=Číselníky!$G$2,pomocné!$B$60,pomocné!$B$63)</f>
        <v>4449.417540950344</v>
      </c>
      <c r="D19" s="52">
        <f>B19*Vstup!$A$20/12*365/360</f>
        <v>1763.1419351899226</v>
      </c>
      <c r="E19" s="53">
        <f t="shared" si="0"/>
        <v>2686.2756057604215</v>
      </c>
      <c r="F19" s="53">
        <f t="shared" si="2"/>
        <v>0</v>
      </c>
      <c r="G19" s="53">
        <f>pomocné!$C$38*MAX(0,D19-F19)</f>
        <v>264.47129027848837</v>
      </c>
      <c r="H19" s="53">
        <f t="shared" si="1"/>
        <v>4184.9462506718555</v>
      </c>
      <c r="I19" s="23">
        <f>H19/((1+Nastavení!$B$62)^A19)</f>
        <v>3917.6230413183457</v>
      </c>
    </row>
    <row r="20" spans="1:9" ht="12.75">
      <c r="A20" s="63">
        <f t="shared" si="3"/>
        <v>3.9999999999999996</v>
      </c>
      <c r="B20" s="52">
        <f>FV(Vstup!$A$20/12*365/360,(A20-A19)*12,pom_grafy!C20,-B19)</f>
        <v>676240.9460826892</v>
      </c>
      <c r="C20" s="52">
        <f>IF(A20&lt;=Číselníky!$G$2,pomocné!$B$60,pomocné!$B$63)</f>
        <v>4449.417540950344</v>
      </c>
      <c r="D20" s="52">
        <f>B20*Vstup!$A$20/12*365/360</f>
        <v>1708.3693437669976</v>
      </c>
      <c r="E20" s="53">
        <f t="shared" si="0"/>
        <v>2741.0481971833465</v>
      </c>
      <c r="F20" s="53">
        <f t="shared" si="2"/>
        <v>0</v>
      </c>
      <c r="G20" s="53">
        <f>pomocné!$C$38*MAX(0,D20-F20)</f>
        <v>256.2554015650496</v>
      </c>
      <c r="H20" s="53">
        <f t="shared" si="1"/>
        <v>4193.162139385295</v>
      </c>
      <c r="I20" s="23">
        <f>H20/((1+Nastavení!$B$62)^A20)</f>
        <v>3873.8336630586573</v>
      </c>
    </row>
    <row r="21" spans="1:9" ht="12.75">
      <c r="A21" s="63">
        <f t="shared" si="3"/>
        <v>4.666666666666666</v>
      </c>
      <c r="B21" s="52">
        <f>FV(Vstup!$A$20/12*365/360,(A21-A20)*12,pom_grafy!C21,-B20)</f>
        <v>654117.6879472941</v>
      </c>
      <c r="C21" s="52">
        <f>IF(A21&lt;=Číselníky!$G$2,pomocné!$B$60,pomocné!$B$63)</f>
        <v>4449.417540950344</v>
      </c>
      <c r="D21" s="52">
        <f>B21*Vstup!$A$20/12*365/360</f>
        <v>1652.4799507899986</v>
      </c>
      <c r="E21" s="53">
        <f t="shared" si="0"/>
        <v>2796.9375901603453</v>
      </c>
      <c r="F21" s="53">
        <f t="shared" si="2"/>
        <v>0</v>
      </c>
      <c r="G21" s="53">
        <f>pomocné!$C$38*MAX(0,D21-F21)</f>
        <v>247.87199261849977</v>
      </c>
      <c r="H21" s="53">
        <f t="shared" si="1"/>
        <v>4201.545548331845</v>
      </c>
      <c r="I21" s="23">
        <f>H21/((1+Nastavení!$B$62)^A21)</f>
        <v>3830.6717696240007</v>
      </c>
    </row>
    <row r="22" spans="1:9" ht="12.75">
      <c r="A22" s="63">
        <f t="shared" si="3"/>
        <v>5.333333333333333</v>
      </c>
      <c r="B22" s="52">
        <f>FV(Vstup!$A$20/12*365/360,(A22-A21)*12,pom_grafy!C22,-B21)</f>
        <v>631543.3412578447</v>
      </c>
      <c r="C22" s="52">
        <f>IF(A22&lt;=Číselníky!$G$2,pomocné!$B$60,pomocné!$B$63)</f>
        <v>4449.417540950344</v>
      </c>
      <c r="D22" s="52">
        <f>B22*Vstup!$A$20/12*365/360</f>
        <v>1595.4509849114554</v>
      </c>
      <c r="E22" s="53">
        <f t="shared" si="0"/>
        <v>2853.9665560388885</v>
      </c>
      <c r="F22" s="53">
        <f t="shared" si="2"/>
        <v>0</v>
      </c>
      <c r="G22" s="53">
        <f>pomocné!$C$38*MAX(0,D22-F22)</f>
        <v>239.3176477367183</v>
      </c>
      <c r="H22" s="53">
        <f t="shared" si="1"/>
        <v>4210.099893213626</v>
      </c>
      <c r="I22" s="23">
        <f>H22/((1+Nastavení!$B$62)^A22)</f>
        <v>3788.129504262395</v>
      </c>
    </row>
    <row r="23" spans="1:9" ht="12.75">
      <c r="A23" s="63">
        <f t="shared" si="3"/>
        <v>6</v>
      </c>
      <c r="B23" s="52">
        <f>FV(Vstup!$A$20/12*365/360,(A23-A22)*12,pom_grafy!C23,-B22)</f>
        <v>608508.7084141342</v>
      </c>
      <c r="C23" s="52">
        <f>IF(A23&lt;=Číselníky!$G$2,pomocné!$B$60,pomocné!$B$63)</f>
        <v>4449.417540950344</v>
      </c>
      <c r="D23" s="52">
        <f>B23*Vstup!$A$20/12*365/360</f>
        <v>1537.2592104809385</v>
      </c>
      <c r="E23" s="53">
        <f t="shared" si="0"/>
        <v>2912.158330469406</v>
      </c>
      <c r="F23" s="53">
        <f t="shared" si="2"/>
        <v>0</v>
      </c>
      <c r="G23" s="53">
        <f>pomocné!$C$38*MAX(0,D23-F23)</f>
        <v>230.58888157214076</v>
      </c>
      <c r="H23" s="53">
        <f t="shared" si="1"/>
        <v>4218.828659378203</v>
      </c>
      <c r="I23" s="23">
        <f>H23/((1+Nastavení!$B$62)^A23)</f>
        <v>3746.1991158747824</v>
      </c>
    </row>
    <row r="24" spans="1:9" ht="12.75">
      <c r="A24" s="63">
        <f t="shared" si="3"/>
        <v>6.666666666666667</v>
      </c>
      <c r="B24" s="52">
        <f>FV(Vstup!$A$20/12*365/360,(A24-A23)*12,pom_grafy!C24,-B23)</f>
        <v>585004.4042788333</v>
      </c>
      <c r="C24" s="52">
        <f>IF(A24&lt;=Číselníky!$G$2,pomocné!$B$60,pomocné!$B$63)</f>
        <v>4449.417540950344</v>
      </c>
      <c r="D24" s="52">
        <f>B24*Vstup!$A$20/12*365/360</f>
        <v>1477.8809180780202</v>
      </c>
      <c r="E24" s="53">
        <f t="shared" si="0"/>
        <v>2971.536622872324</v>
      </c>
      <c r="F24" s="53">
        <f t="shared" si="2"/>
        <v>0</v>
      </c>
      <c r="G24" s="53">
        <f>pomocné!$C$38*MAX(0,D24-F24)</f>
        <v>221.682137711703</v>
      </c>
      <c r="H24" s="53">
        <f t="shared" si="1"/>
        <v>4227.735403238641</v>
      </c>
      <c r="I24" s="23">
        <f>H24/((1+Nastavení!$B$62)^A24)</f>
        <v>3704.8729576476876</v>
      </c>
    </row>
    <row r="25" spans="1:9" ht="12.75">
      <c r="A25" s="63">
        <f t="shared" si="3"/>
        <v>7.333333333333334</v>
      </c>
      <c r="B25" s="52">
        <f>FV(Vstup!$A$20/12*365/360,(A25-A24)*12,pom_grafy!C25,-B24)</f>
        <v>561020.8523536472</v>
      </c>
      <c r="C25" s="52">
        <f>IF(A25&lt;=Číselníky!$G$2,pomocné!$B$60,pomocné!$B$63)</f>
        <v>4449.417540950344</v>
      </c>
      <c r="D25" s="52">
        <f>B25*Vstup!$A$20/12*365/360</f>
        <v>1417.2919148522055</v>
      </c>
      <c r="E25" s="53">
        <f t="shared" si="0"/>
        <v>3032.1256260981386</v>
      </c>
      <c r="F25" s="53">
        <f t="shared" si="2"/>
        <v>0</v>
      </c>
      <c r="G25" s="53">
        <f>pomocné!$C$38*MAX(0,D25-F25)</f>
        <v>212.59378722783083</v>
      </c>
      <c r="H25" s="53">
        <f t="shared" si="1"/>
        <v>4236.823753722513</v>
      </c>
      <c r="I25" s="23">
        <f>H25/((1+Nastavení!$B$62)^A25)</f>
        <v>3664.1434857039467</v>
      </c>
    </row>
    <row r="26" spans="1:9" ht="12.75">
      <c r="A26" s="63">
        <f t="shared" si="3"/>
        <v>8</v>
      </c>
      <c r="B26" s="52">
        <f>FV(Vstup!$A$20/12*365/360,(A26-A25)*12,pom_grafy!C26,-B25)</f>
        <v>536548.2808775067</v>
      </c>
      <c r="C26" s="52">
        <f>IF(A26&lt;=Číselníky!$G$2,pomocné!$B$60,pomocné!$B$63)</f>
        <v>4449.417540950344</v>
      </c>
      <c r="D26" s="52">
        <f>B26*Vstup!$A$20/12*365/360</f>
        <v>1355.4675146658958</v>
      </c>
      <c r="E26" s="53">
        <f t="shared" si="0"/>
        <v>3093.9500262844485</v>
      </c>
      <c r="F26" s="53">
        <f t="shared" si="2"/>
        <v>0</v>
      </c>
      <c r="G26" s="53">
        <f>pomocné!$C$38*MAX(0,D26-F26)</f>
        <v>203.32012719988435</v>
      </c>
      <c r="H26" s="53">
        <f t="shared" si="1"/>
        <v>4246.09741375046</v>
      </c>
      <c r="I26" s="23">
        <f>H26/((1+Nastavení!$B$62)^A26)</f>
        <v>3624.003257771253</v>
      </c>
    </row>
    <row r="27" spans="1:9" ht="12.75">
      <c r="A27" s="63">
        <f t="shared" si="3"/>
        <v>8.666666666666666</v>
      </c>
      <c r="B27" s="52">
        <f>FV(Vstup!$A$20/12*365/360,(A27-A26)*12,pom_grafy!C27,-B26)</f>
        <v>511576.7188452012</v>
      </c>
      <c r="C27" s="52">
        <f>IF(A27&lt;=Číselníky!$G$2,pomocné!$B$60,pomocné!$B$63)</f>
        <v>4449.417540950344</v>
      </c>
      <c r="D27" s="52">
        <f>B27*Vstup!$A$20/12*365/360</f>
        <v>1292.3825280363662</v>
      </c>
      <c r="E27" s="53">
        <f t="shared" si="0"/>
        <v>3157.035012913978</v>
      </c>
      <c r="F27" s="53">
        <f t="shared" si="2"/>
        <v>0</v>
      </c>
      <c r="G27" s="53">
        <f>pomocné!$C$38*MAX(0,D27-F27)</f>
        <v>193.85737920545492</v>
      </c>
      <c r="H27" s="53">
        <f t="shared" si="1"/>
        <v>4255.560161744889</v>
      </c>
      <c r="I27" s="23">
        <f>H27/((1+Nastavení!$B$62)^A27)</f>
        <v>3584.4449318683014</v>
      </c>
    </row>
    <row r="28" spans="1:9" ht="12.75">
      <c r="A28" s="63">
        <f t="shared" si="3"/>
        <v>9.333333333333332</v>
      </c>
      <c r="B28" s="52">
        <f>FV(Vstup!$A$20/12*365/360,(A28-A27)*12,pom_grafy!C28,-B27)</f>
        <v>486095.9919448327</v>
      </c>
      <c r="C28" s="52">
        <f>IF(A28&lt;=Číselníky!$G$2,pomocné!$B$60,pomocné!$B$63)</f>
        <v>4449.417540950344</v>
      </c>
      <c r="D28" s="52">
        <f>B28*Vstup!$A$20/12*365/360</f>
        <v>1228.0112518726694</v>
      </c>
      <c r="E28" s="53">
        <f t="shared" si="0"/>
        <v>3221.406289077675</v>
      </c>
      <c r="F28" s="53">
        <f t="shared" si="2"/>
        <v>0</v>
      </c>
      <c r="G28" s="53">
        <f>pomocné!$C$38*MAX(0,D28-F28)</f>
        <v>184.20168778090041</v>
      </c>
      <c r="H28" s="53">
        <f t="shared" si="1"/>
        <v>4265.215853169444</v>
      </c>
      <c r="I28" s="23">
        <f>H28/((1+Nastavení!$B$62)^A28)</f>
        <v>3545.461265008295</v>
      </c>
    </row>
    <row r="29" spans="1:9" ht="12.75">
      <c r="A29" s="63">
        <f t="shared" si="3"/>
        <v>9.999999999999998</v>
      </c>
      <c r="B29" s="52">
        <f>FV(Vstup!$A$20/12*365/360,(A29-A28)*12,pom_grafy!C29,-B28)</f>
        <v>460095.7184124358</v>
      </c>
      <c r="C29" s="52">
        <f>IF(A29&lt;=Číselníky!$G$2,pomocné!$B$60,pomocné!$B$63)</f>
        <v>4449.417540950344</v>
      </c>
      <c r="D29" s="52">
        <f>B29*Vstup!$A$20/12*365/360</f>
        <v>1162.327459003268</v>
      </c>
      <c r="E29" s="53">
        <f t="shared" si="0"/>
        <v>3287.090081947076</v>
      </c>
      <c r="F29" s="53">
        <f t="shared" si="2"/>
        <v>0</v>
      </c>
      <c r="G29" s="53">
        <f>pomocné!$C$38*MAX(0,D29-F29)</f>
        <v>174.34911885049019</v>
      </c>
      <c r="H29" s="53">
        <f t="shared" si="1"/>
        <v>4275.068422099854</v>
      </c>
      <c r="I29" s="23">
        <f>H29/((1+Nastavení!$B$62)^A29)</f>
        <v>3507.0451119195773</v>
      </c>
    </row>
    <row r="30" spans="1:9" ht="12.75">
      <c r="A30" s="63">
        <f t="shared" si="3"/>
        <v>10.666666666666664</v>
      </c>
      <c r="B30" s="52">
        <f>FV(Vstup!$A$20/12*365/360,(A30-A29)*12,pom_grafy!C30,-B29)</f>
        <v>433565.3048020735</v>
      </c>
      <c r="C30" s="52">
        <f>IF(A30&lt;=Číselníky!$G$2,pomocné!$B$60,pomocné!$B$63)</f>
        <v>4449.417540950344</v>
      </c>
      <c r="D30" s="52">
        <f>B30*Vstup!$A$20/12*365/360</f>
        <v>1095.3043874901455</v>
      </c>
      <c r="E30" s="53">
        <f t="shared" si="0"/>
        <v>3354.1131534601986</v>
      </c>
      <c r="F30" s="53">
        <f t="shared" si="2"/>
        <v>0</v>
      </c>
      <c r="G30" s="53">
        <f>pomocné!$C$38*MAX(0,D30-F30)</f>
        <v>164.2956581235218</v>
      </c>
      <c r="H30" s="53">
        <f t="shared" si="1"/>
        <v>4285.121882826822</v>
      </c>
      <c r="I30" s="23">
        <f>H30/((1+Nastavení!$B$62)^A30)</f>
        <v>3469.189423783191</v>
      </c>
    </row>
    <row r="31" spans="1:9" ht="12.75">
      <c r="A31" s="63">
        <f t="shared" si="3"/>
        <v>11.33333333333333</v>
      </c>
      <c r="B31" s="52">
        <f>FV(Vstup!$A$20/12*365/360,(A31-A30)*12,pom_grafy!C31,-B30)</f>
        <v>406493.94166968693</v>
      </c>
      <c r="C31" s="52">
        <f>IF(A31&lt;=Číselníky!$G$2,pomocné!$B$60,pomocné!$B$63)</f>
        <v>4449.417540950344</v>
      </c>
      <c r="D31" s="52">
        <f>B31*Vstup!$A$20/12*365/360</f>
        <v>1026.9147297250297</v>
      </c>
      <c r="E31" s="53">
        <f t="shared" si="0"/>
        <v>3422.5028112253144</v>
      </c>
      <c r="F31" s="53">
        <f t="shared" si="2"/>
        <v>0</v>
      </c>
      <c r="G31" s="53">
        <f>pomocné!$C$38*MAX(0,D31-F31)</f>
        <v>154.03720945875446</v>
      </c>
      <c r="H31" s="53">
        <f t="shared" si="1"/>
        <v>4295.3803314915895</v>
      </c>
      <c r="I31" s="23">
        <f>H31/((1+Nastavení!$B$62)^A31)</f>
        <v>3431.8872469871158</v>
      </c>
    </row>
    <row r="32" spans="1:9" ht="12.75">
      <c r="A32" s="63">
        <f t="shared" si="3"/>
        <v>11.999999999999996</v>
      </c>
      <c r="B32" s="52">
        <f>FV(Vstup!$A$20/12*365/360,(A32-A31)*12,pom_grafy!C32,-B31)</f>
        <v>378870.5991689391</v>
      </c>
      <c r="C32" s="52">
        <f>IF(A32&lt;=Číselníky!$G$2,pomocné!$B$60,pomocné!$B$63)</f>
        <v>4449.417540950344</v>
      </c>
      <c r="D32" s="52">
        <f>B32*Vstup!$A$20/12*365/360</f>
        <v>957.130621303291</v>
      </c>
      <c r="E32" s="53">
        <f t="shared" si="0"/>
        <v>3492.286919647053</v>
      </c>
      <c r="F32" s="53">
        <f t="shared" si="2"/>
        <v>0</v>
      </c>
      <c r="G32" s="53">
        <f>pomocné!$C$38*MAX(0,D32-F32)</f>
        <v>143.56959319549364</v>
      </c>
      <c r="H32" s="53">
        <f t="shared" si="1"/>
        <v>4305.847947754851</v>
      </c>
      <c r="I32" s="23">
        <f>H32/((1+Nastavení!$B$62)^A32)</f>
        <v>3395.13172189698</v>
      </c>
    </row>
    <row r="33" spans="1:9" ht="12.75">
      <c r="A33" s="63">
        <f t="shared" si="3"/>
        <v>12.666666666666663</v>
      </c>
      <c r="B33" s="52">
        <f>FV(Vstup!$A$20/12*365/360,(A33-A32)*12,pom_grafy!C33,-B32)</f>
        <v>350684.02255725925</v>
      </c>
      <c r="C33" s="52">
        <f>IF(A33&lt;=Číselníky!$G$2,pomocné!$B$60,pomocné!$B$63)</f>
        <v>4449.417540950344</v>
      </c>
      <c r="D33" s="52">
        <f>B33*Vstup!$A$20/12*365/360</f>
        <v>885.9236296709836</v>
      </c>
      <c r="E33" s="53">
        <f t="shared" si="0"/>
        <v>3563.4939112793604</v>
      </c>
      <c r="F33" s="53">
        <f t="shared" si="2"/>
        <v>0</v>
      </c>
      <c r="G33" s="53">
        <f>pomocné!$C$38*MAX(0,D33-F33)</f>
        <v>132.88854445064754</v>
      </c>
      <c r="H33" s="53">
        <f t="shared" si="1"/>
        <v>4316.528996499696</v>
      </c>
      <c r="I33" s="23">
        <f>H33/((1+Nastavení!$B$62)^A33)</f>
        <v>3358.916081643038</v>
      </c>
    </row>
    <row r="34" spans="1:9" ht="12.75">
      <c r="A34" s="63">
        <f t="shared" si="3"/>
        <v>13.333333333333329</v>
      </c>
      <c r="B34" s="52">
        <f>FV(Vstup!$A$20/12*365/360,(A34-A33)*12,pom_grafy!C34,-B33)</f>
        <v>321922.72761025594</v>
      </c>
      <c r="C34" s="52">
        <f>IF(A34&lt;=Číselníky!$G$2,pomocné!$B$60,pomocné!$B$63)</f>
        <v>4449.417540950344</v>
      </c>
      <c r="D34" s="52">
        <f>B34*Vstup!$A$20/12*365/360</f>
        <v>813.2647425404</v>
      </c>
      <c r="E34" s="53">
        <f t="shared" si="0"/>
        <v>3636.152798409944</v>
      </c>
      <c r="F34" s="53">
        <f t="shared" si="2"/>
        <v>0</v>
      </c>
      <c r="G34" s="53">
        <f>pomocné!$C$38*MAX(0,D34-F34)</f>
        <v>121.98971138105999</v>
      </c>
      <c r="H34" s="53">
        <f t="shared" si="1"/>
        <v>4327.427829569284</v>
      </c>
      <c r="I34" s="23">
        <f>H34/((1+Nastavení!$B$62)^A34)</f>
        <v>3323.233650923188</v>
      </c>
    </row>
    <row r="35" spans="1:9" ht="12.75">
      <c r="A35" s="63">
        <f t="shared" si="3"/>
        <v>13.999999999999995</v>
      </c>
      <c r="B35" s="52">
        <f>FV(Vstup!$A$20/12*365/360,(A35-A34)*12,pom_grafy!C35,-B34)</f>
        <v>292574.9959426316</v>
      </c>
      <c r="C35" s="52">
        <f>IF(A35&lt;=Číselníky!$G$2,pomocné!$B$60,pomocné!$B$63)</f>
        <v>4449.417540950344</v>
      </c>
      <c r="D35" s="52">
        <f>B35*Vstup!$A$20/12*365/360</f>
        <v>739.1243560694236</v>
      </c>
      <c r="E35" s="53">
        <f t="shared" si="0"/>
        <v>3710.2931848809203</v>
      </c>
      <c r="F35" s="53">
        <f t="shared" si="2"/>
        <v>0</v>
      </c>
      <c r="G35" s="53">
        <f>pomocné!$C$38*MAX(0,D35-F35)</f>
        <v>110.86865341041353</v>
      </c>
      <c r="H35" s="53">
        <f t="shared" si="1"/>
        <v>4338.548887539931</v>
      </c>
      <c r="I35" s="23">
        <f>H35/((1+Nastavení!$B$62)^A35)</f>
        <v>3288.0778448218202</v>
      </c>
    </row>
    <row r="36" spans="1:9" ht="12.75">
      <c r="A36" s="63">
        <f t="shared" si="3"/>
        <v>14.66666666666666</v>
      </c>
      <c r="B36" s="52">
        <f>FV(Vstup!$A$20/12*365/360,(A36-A35)*12,pom_grafy!C36,-B35)</f>
        <v>262628.87023369095</v>
      </c>
      <c r="C36" s="52">
        <f>IF(A36&lt;=Číselníky!$G$2,pomocné!$B$60,pomocné!$B$63)</f>
        <v>4449.417540950344</v>
      </c>
      <c r="D36" s="52">
        <f>B36*Vstup!$A$20/12*365/360</f>
        <v>663.4722627998578</v>
      </c>
      <c r="E36" s="53">
        <f t="shared" si="0"/>
        <v>3785.945278150486</v>
      </c>
      <c r="F36" s="53">
        <f t="shared" si="2"/>
        <v>0</v>
      </c>
      <c r="G36" s="53">
        <f>pomocné!$C$38*MAX(0,D36-F36)</f>
        <v>99.52083941997867</v>
      </c>
      <c r="H36" s="53">
        <f t="shared" si="1"/>
        <v>4349.896701530365</v>
      </c>
      <c r="I36" s="23">
        <f>H36/((1+Nastavení!$B$62)^A36)</f>
        <v>3253.442167644304</v>
      </c>
    </row>
    <row r="37" spans="1:9" ht="12.75">
      <c r="A37" s="63">
        <f t="shared" si="3"/>
        <v>15.333333333333327</v>
      </c>
      <c r="B37" s="52">
        <f>FV(Vstup!$A$20/12*365/360,(A37-A36)*12,pom_grafy!C37,-B36)</f>
        <v>232072.14935549887</v>
      </c>
      <c r="C37" s="52">
        <f>IF(A37&lt;=Číselníky!$G$2,pomocné!$B$60,pomocné!$B$63)</f>
        <v>4449.417540950344</v>
      </c>
      <c r="D37" s="52">
        <f>B37*Vstup!$A$20/12*365/360</f>
        <v>586.2776393498233</v>
      </c>
      <c r="E37" s="53">
        <f t="shared" si="0"/>
        <v>3863.1399016005207</v>
      </c>
      <c r="F37" s="53">
        <f t="shared" si="2"/>
        <v>0</v>
      </c>
      <c r="G37" s="53">
        <f>pomocné!$C$38*MAX(0,D37-F37)</f>
        <v>87.9416459024735</v>
      </c>
      <c r="H37" s="53">
        <f t="shared" si="1"/>
        <v>4361.475895047871</v>
      </c>
      <c r="I37" s="23">
        <f>H37/((1+Nastavení!$B$62)^A37)</f>
        <v>3219.3202117668948</v>
      </c>
    </row>
    <row r="38" spans="1:9" ht="12.75">
      <c r="A38" s="63">
        <f t="shared" si="3"/>
        <v>15.999999999999993</v>
      </c>
      <c r="B38" s="52">
        <f>FV(Vstup!$A$20/12*365/360,(A38-A37)*12,pom_grafy!C38,-B37)</f>
        <v>200892.38340170225</v>
      </c>
      <c r="C38" s="52">
        <f>IF(A38&lt;=Číselníky!$G$2,pomocné!$B$60,pomocné!$B$63)</f>
        <v>4449.417540950344</v>
      </c>
      <c r="D38" s="52">
        <f>B38*Vstup!$A$20/12*365/360</f>
        <v>507.5090338552031</v>
      </c>
      <c r="E38" s="53">
        <f t="shared" si="0"/>
        <v>3941.908507095141</v>
      </c>
      <c r="F38" s="53">
        <f t="shared" si="2"/>
        <v>0</v>
      </c>
      <c r="G38" s="53">
        <f>pomocné!$C$38*MAX(0,D38-F38)</f>
        <v>76.12635507828045</v>
      </c>
      <c r="H38" s="53">
        <f t="shared" si="1"/>
        <v>4373.291185872064</v>
      </c>
      <c r="I38" s="23">
        <f>H38/((1+Nastavení!$B$62)^A38)</f>
        <v>3185.7056565018643</v>
      </c>
    </row>
    <row r="39" spans="1:9" ht="12.75">
      <c r="A39" s="63">
        <f t="shared" si="3"/>
        <v>16.66666666666666</v>
      </c>
      <c r="B39" s="52">
        <f>FV(Vstup!$A$20/12*365/360,(A39-A38)*12,pom_grafy!C39,-B38)</f>
        <v>169076.86861499082</v>
      </c>
      <c r="C39" s="52">
        <f>IF(A39&lt;=Číselníky!$G$2,pomocné!$B$60,pomocné!$B$63)</f>
        <v>4449.417540950344</v>
      </c>
      <c r="D39" s="52">
        <f>B39*Vstup!$A$20/12*365/360</f>
        <v>427.13435315502363</v>
      </c>
      <c r="E39" s="53">
        <f t="shared" si="0"/>
        <v>4022.2831877953204</v>
      </c>
      <c r="F39" s="53">
        <f t="shared" si="2"/>
        <v>0</v>
      </c>
      <c r="G39" s="53">
        <f>pomocné!$C$38*MAX(0,D39-F39)</f>
        <v>64.07015297325354</v>
      </c>
      <c r="H39" s="53">
        <f t="shared" si="1"/>
        <v>4385.347387977091</v>
      </c>
      <c r="I39" s="23">
        <f>H39/((1+Nastavení!$B$62)^A39)</f>
        <v>3152.592266977661</v>
      </c>
    </row>
    <row r="40" spans="1:9" ht="12.75">
      <c r="A40" s="63">
        <f t="shared" si="3"/>
        <v>17.33333333333333</v>
      </c>
      <c r="B40" s="52">
        <f>FV(Vstup!$A$20/12*365/360,(A40-A39)*12,pom_grafy!C40,-B39)</f>
        <v>136612.6422111297</v>
      </c>
      <c r="C40" s="52">
        <f>IF(A40&lt;=Číselníky!$G$2,pomocné!$B$60,pomocné!$B$63)</f>
        <v>4449.417540950344</v>
      </c>
      <c r="D40" s="52">
        <f>B40*Vstup!$A$20/12*365/360</f>
        <v>345.12084971554725</v>
      </c>
      <c r="E40" s="53">
        <f t="shared" si="0"/>
        <v>4104.2966912347965</v>
      </c>
      <c r="F40" s="53">
        <f t="shared" si="2"/>
        <v>0</v>
      </c>
      <c r="G40" s="53">
        <f>pomocné!$C$38*MAX(0,D40-F40)</f>
        <v>51.768127457332085</v>
      </c>
      <c r="H40" s="53">
        <f t="shared" si="1"/>
        <v>4397.649413493012</v>
      </c>
      <c r="I40" s="23">
        <f>H40/((1+Nastavení!$B$62)^A40)</f>
        <v>3119.9738930338917</v>
      </c>
    </row>
    <row r="41" spans="1:9" ht="12.75">
      <c r="A41" s="63">
        <f t="shared" si="3"/>
        <v>17.999999999999996</v>
      </c>
      <c r="B41" s="52">
        <f>FV(Vstup!$A$20/12*365/360,(A41-A40)*12,pom_grafy!C41,-B40)</f>
        <v>103486.4770974553</v>
      </c>
      <c r="C41" s="52">
        <f>IF(A41&lt;=Číselníky!$G$2,pomocné!$B$60,pomocné!$B$63)</f>
        <v>4449.417540950344</v>
      </c>
      <c r="D41" s="52">
        <f>B41*Vstup!$A$20/12*365/360</f>
        <v>261.4351082877496</v>
      </c>
      <c r="E41" s="53">
        <f t="shared" si="0"/>
        <v>4187.982432662595</v>
      </c>
      <c r="F41" s="53">
        <f t="shared" si="2"/>
        <v>0</v>
      </c>
      <c r="G41" s="53">
        <f>pomocné!$C$38*MAX(0,D41-F41)</f>
        <v>39.21526624316244</v>
      </c>
      <c r="H41" s="53">
        <f t="shared" si="1"/>
        <v>4410.2022747071815</v>
      </c>
      <c r="I41" s="23">
        <f>H41/((1+Nastavení!$B$62)^A41)</f>
        <v>3087.8444681309493</v>
      </c>
    </row>
    <row r="42" spans="1:9" ht="12.75">
      <c r="A42" s="63">
        <f t="shared" si="3"/>
        <v>18.666666666666664</v>
      </c>
      <c r="B42" s="52">
        <f>FV(Vstup!$A$20/12*365/360,(A42-A41)*12,pom_grafy!C42,-B41)</f>
        <v>69684.8764836822</v>
      </c>
      <c r="C42" s="52">
        <f>IF(A42&lt;=Číselníky!$G$2,pomocné!$B$60,pomocné!$B$63)</f>
        <v>4449.417540950344</v>
      </c>
      <c r="D42" s="52">
        <f>B42*Vstup!$A$20/12*365/360</f>
        <v>176.04303229274666</v>
      </c>
      <c r="E42" s="53">
        <f t="shared" si="0"/>
        <v>4273.374508657597</v>
      </c>
      <c r="F42" s="53">
        <f t="shared" si="2"/>
        <v>0</v>
      </c>
      <c r="G42" s="53">
        <f>pomocné!$C$38*MAX(0,D42-F42)</f>
        <v>26.406454843911998</v>
      </c>
      <c r="H42" s="53">
        <f t="shared" si="1"/>
        <v>4423.011086106432</v>
      </c>
      <c r="I42" s="23">
        <f>H42/((1+Nastavení!$B$62)^A42)</f>
        <v>3056.1980082740724</v>
      </c>
    </row>
    <row r="43" spans="1:9" ht="12.75">
      <c r="A43" s="63">
        <f t="shared" si="3"/>
        <v>19.333333333333332</v>
      </c>
      <c r="B43" s="52">
        <f>FV(Vstup!$A$20/12*365/360,(A43-A42)*12,pom_grafy!C43,-B42)</f>
        <v>35194.06838282587</v>
      </c>
      <c r="C43" s="52">
        <f>IF(A43&lt;=Číselníky!$G$2,pomocné!$B$60,pomocné!$B$63)</f>
        <v>4449.417540950344</v>
      </c>
      <c r="D43" s="52">
        <f>B43*Vstup!$A$20/12*365/360</f>
        <v>88.9098299296227</v>
      </c>
      <c r="E43" s="53">
        <f t="shared" si="0"/>
        <v>4360.507711020721</v>
      </c>
      <c r="F43" s="53">
        <f t="shared" si="2"/>
        <v>0</v>
      </c>
      <c r="G43" s="53">
        <f>pomocné!$C$38*MAX(0,D43-F43)</f>
        <v>13.336474489443406</v>
      </c>
      <c r="H43" s="53">
        <f t="shared" si="1"/>
        <v>4436.081066460901</v>
      </c>
      <c r="I43" s="23">
        <f>H43/((1+Nastavení!$B$62)^A43)</f>
        <v>3025.0286109516733</v>
      </c>
    </row>
    <row r="44" spans="1:9" ht="13.5" thickBot="1">
      <c r="A44" s="64">
        <f t="shared" si="3"/>
        <v>20</v>
      </c>
      <c r="B44" s="52">
        <f>FV(Vstup!$A$20/12*365/360,(A44-A43)*12,pom_grafy!C44,-B43)</f>
        <v>1.0186340659856796E-10</v>
      </c>
      <c r="C44" s="54">
        <f>IF(A44&lt;=Číselníky!$G$2,pomocné!$B$60,pomocné!$B$63)</f>
        <v>4449.417540950344</v>
      </c>
      <c r="D44" s="54">
        <f>B44*Vstup!$A$20/12*365/360</f>
        <v>2.573347888688591E-13</v>
      </c>
      <c r="E44" s="55">
        <f t="shared" si="0"/>
        <v>4449.417540950344</v>
      </c>
      <c r="F44" s="55">
        <f t="shared" si="2"/>
        <v>0</v>
      </c>
      <c r="G44" s="55">
        <f>pomocné!$C$38*MAX(0,D44-F44)</f>
        <v>3.8600218330328864E-14</v>
      </c>
      <c r="H44" s="55">
        <f t="shared" si="1"/>
        <v>4449.417540950344</v>
      </c>
      <c r="I44" s="25">
        <f>H44/((1+Nastavení!$B$62)^A44)</f>
        <v>2994.3304540877293</v>
      </c>
    </row>
    <row r="45" ht="12.75">
      <c r="A45" s="56"/>
    </row>
    <row r="46" ht="12.75">
      <c r="A46" s="56"/>
    </row>
    <row r="47" ht="12.75">
      <c r="A47" s="56"/>
    </row>
    <row r="48" ht="12.75">
      <c r="A48" s="56"/>
    </row>
    <row r="49" ht="12.75">
      <c r="A49" s="56"/>
    </row>
    <row r="50" ht="12.75">
      <c r="A50" s="56"/>
    </row>
    <row r="51" ht="12.75">
      <c r="A51" s="56"/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3"/>
  <sheetViews>
    <sheetView workbookViewId="0" topLeftCell="A33">
      <selection activeCell="D14" sqref="D14"/>
    </sheetView>
  </sheetViews>
  <sheetFormatPr defaultColWidth="9.00390625" defaultRowHeight="12.75"/>
  <cols>
    <col min="2" max="2" width="11.875" style="0" customWidth="1"/>
    <col min="3" max="3" width="13.25390625" style="0" customWidth="1"/>
    <col min="4" max="4" width="13.75390625" style="0" customWidth="1"/>
    <col min="5" max="6" width="7.625" style="0" customWidth="1"/>
    <col min="7" max="7" width="12.00390625" style="0" bestFit="1" customWidth="1"/>
  </cols>
  <sheetData>
    <row r="1" spans="1:4" ht="12.75">
      <c r="A1" s="1" t="s">
        <v>23</v>
      </c>
      <c r="D1">
        <f>Číselníky!D2+4</f>
        <v>20</v>
      </c>
    </row>
    <row r="3" ht="12.75">
      <c r="A3" s="1" t="s">
        <v>39</v>
      </c>
    </row>
    <row r="4" spans="3:4" ht="12.75">
      <c r="C4" t="s">
        <v>144</v>
      </c>
      <c r="D4" t="s">
        <v>145</v>
      </c>
    </row>
    <row r="5" spans="1:4" ht="12.75">
      <c r="A5" t="s">
        <v>91</v>
      </c>
      <c r="C5">
        <f>SUM(Vstup!D37:D41)</f>
        <v>3</v>
      </c>
      <c r="D5">
        <f>SUM(Vstup!E37:E41)</f>
        <v>0</v>
      </c>
    </row>
    <row r="6" spans="1:4" ht="12.75">
      <c r="A6" t="s">
        <v>112</v>
      </c>
      <c r="C6" s="15">
        <f>SUMPRODUCT(Nastavení!C33:C37,Vstup!D37:D41)</f>
        <v>6330</v>
      </c>
      <c r="D6">
        <f>SUMPRODUCT(Nastavení!C33:C37,Vstup!E37:E41)</f>
        <v>0</v>
      </c>
    </row>
    <row r="7" spans="1:4" ht="12.75">
      <c r="A7" t="s">
        <v>90</v>
      </c>
      <c r="C7" s="15">
        <f>IF(C5&lt;3,IF(C5&lt;2,Nastavení!C41,Nastavení!C42),IF(pomocné!C5&lt;5,Nastavení!C43,Nastavení!C44))</f>
        <v>2880</v>
      </c>
      <c r="D7">
        <f>IF(D5&lt;3,IF(D5&lt;2,Nastavení!C41,Nastavení!C42),IF(pomocné!D5&lt;5,Nastavení!C43,Nastavení!C44))</f>
        <v>1780</v>
      </c>
    </row>
    <row r="8" spans="1:4" ht="12.75">
      <c r="A8" t="s">
        <v>113</v>
      </c>
      <c r="C8" s="27">
        <f>IF(C5=0,0,C6+C7)</f>
        <v>9210</v>
      </c>
      <c r="D8" s="27">
        <f>IF(D5=0,0,D6+D7)</f>
        <v>0</v>
      </c>
    </row>
    <row r="10" ht="12.75">
      <c r="A10" s="1" t="s">
        <v>114</v>
      </c>
    </row>
    <row r="11" spans="1:4" ht="12.75">
      <c r="A11" t="s">
        <v>115</v>
      </c>
      <c r="D11" s="2">
        <f>Vstup!D9/Vstup!D13</f>
        <v>0.5</v>
      </c>
    </row>
    <row r="14" ht="12.75">
      <c r="A14" s="1" t="s">
        <v>116</v>
      </c>
    </row>
    <row r="16" ht="13.5" thickBot="1">
      <c r="A16" s="4" t="s">
        <v>117</v>
      </c>
    </row>
    <row r="17" spans="1:4" ht="12.75">
      <c r="A17" s="18"/>
      <c r="B17" s="19"/>
      <c r="C17" s="13" t="s">
        <v>118</v>
      </c>
      <c r="D17" s="14" t="s">
        <v>119</v>
      </c>
    </row>
    <row r="18" spans="1:4" ht="12.75">
      <c r="A18" s="20" t="s">
        <v>100</v>
      </c>
      <c r="B18" s="16"/>
      <c r="C18" s="12">
        <f>IF(Číselníky!B2=2,1,0)</f>
        <v>0</v>
      </c>
      <c r="D18" s="23">
        <f>C18*Nastavení!A5</f>
        <v>0</v>
      </c>
    </row>
    <row r="19" spans="1:4" ht="13.5" thickBot="1">
      <c r="A19" s="21" t="s">
        <v>120</v>
      </c>
      <c r="B19" s="17"/>
      <c r="C19" s="24">
        <f>IF(Číselníky!B2&lt;&gt;2,1,0)</f>
        <v>1</v>
      </c>
      <c r="D19" s="25">
        <f>C19*Nastavení!A6</f>
        <v>1500000</v>
      </c>
    </row>
    <row r="20" spans="3:4" ht="13.5" thickBot="1">
      <c r="C20" s="46" t="s">
        <v>121</v>
      </c>
      <c r="D20" s="47">
        <f>D18+D19</f>
        <v>1500000</v>
      </c>
    </row>
    <row r="22" spans="1:3" ht="12.75">
      <c r="A22" t="s">
        <v>122</v>
      </c>
      <c r="C22" s="11">
        <f>PMT(Vstup!A20/12,12*MIN(Číselníky!D1,Nastavení!A4),-MIN(Vstup!D9,pomocné!D20))</f>
        <v>7721.167318804934</v>
      </c>
    </row>
    <row r="23" spans="1:3" ht="12.75">
      <c r="A23" t="s">
        <v>123</v>
      </c>
      <c r="C23" s="11">
        <f>PMT((Vstup!A20-Nastavení!A3)/12,12*MIN(Číselníky!D1,Nastavení!A4),-MIN(Vstup!D9,pomocné!D20))</f>
        <v>7357.49411373639</v>
      </c>
    </row>
    <row r="24" spans="1:3" ht="12.75">
      <c r="A24" t="s">
        <v>66</v>
      </c>
      <c r="C24" s="26">
        <f>C22-C23</f>
        <v>363.6732050685441</v>
      </c>
    </row>
    <row r="27" ht="12.75">
      <c r="A27" s="1" t="s">
        <v>94</v>
      </c>
    </row>
    <row r="28" ht="12.75">
      <c r="A28" s="1"/>
    </row>
    <row r="29" spans="1:4" ht="12.75">
      <c r="A29" s="7" t="str">
        <f>Nastavení!A50</f>
        <v>Nezdanitelná částka</v>
      </c>
      <c r="C29" s="65">
        <f>Nastavení!C50</f>
        <v>38040</v>
      </c>
      <c r="D29" s="7"/>
    </row>
    <row r="30" spans="1:9" ht="12.75">
      <c r="A30" s="125" t="str">
        <f>Nastavení!A51</f>
        <v>Základ daně</v>
      </c>
      <c r="B30" s="125"/>
      <c r="C30" s="7" t="str">
        <f>Nastavení!C51</f>
        <v>Pásmo</v>
      </c>
      <c r="D30" s="7" t="str">
        <f>Nastavení!D51</f>
        <v>Paušál</v>
      </c>
      <c r="E30" s="126" t="s">
        <v>124</v>
      </c>
      <c r="F30" s="126"/>
      <c r="G30" s="126" t="s">
        <v>125</v>
      </c>
      <c r="H30" s="126"/>
      <c r="I30" t="s">
        <v>126</v>
      </c>
    </row>
    <row r="31" spans="1:9" ht="12.75">
      <c r="A31" s="65">
        <f>Nastavení!A52</f>
        <v>0</v>
      </c>
      <c r="B31" s="65">
        <f>Nastavení!B52</f>
        <v>109200</v>
      </c>
      <c r="C31" s="66">
        <f>Nastavení!C52</f>
        <v>0.15</v>
      </c>
      <c r="D31" s="65">
        <f>Nastavení!D52</f>
        <v>0</v>
      </c>
      <c r="E31" s="65"/>
      <c r="F31" s="65">
        <f>(B31+$C$29)/0.875</f>
        <v>168274.2857142857</v>
      </c>
      <c r="H31" s="65">
        <f>F31-C31*B31</f>
        <v>151894.2857142857</v>
      </c>
      <c r="I31">
        <f>IF(AND($D$36&gt;G31,$D$36&lt;H31),1,0)</f>
        <v>1</v>
      </c>
    </row>
    <row r="32" spans="1:9" ht="12.75">
      <c r="A32" s="65">
        <f>Nastavení!A53</f>
        <v>109200</v>
      </c>
      <c r="B32" s="65">
        <f>Nastavení!B53</f>
        <v>218400</v>
      </c>
      <c r="C32" s="66">
        <f>Nastavení!C53</f>
        <v>0.2</v>
      </c>
      <c r="D32" s="65">
        <f>Nastavení!D53</f>
        <v>16380</v>
      </c>
      <c r="E32" s="65">
        <f>(A32+$C$29)/0.875</f>
        <v>168274.2857142857</v>
      </c>
      <c r="F32" s="65">
        <f>(B32+$C$29)/0.875</f>
        <v>293074.28571428574</v>
      </c>
      <c r="G32" s="6">
        <f>H31</f>
        <v>151894.2857142857</v>
      </c>
      <c r="H32" s="65">
        <f>F32-(C32*(B32-A32)+D32)</f>
        <v>254854.28571428574</v>
      </c>
      <c r="I32">
        <f>IF(AND($D$36&gt;G32,$D$36&lt;H32),1,0)</f>
        <v>0</v>
      </c>
    </row>
    <row r="33" spans="1:9" ht="12.75">
      <c r="A33" s="65">
        <f>Nastavení!A54</f>
        <v>218400</v>
      </c>
      <c r="B33" s="65">
        <f>Nastavení!B54</f>
        <v>331200</v>
      </c>
      <c r="C33" s="66">
        <f>Nastavení!C54</f>
        <v>0.25</v>
      </c>
      <c r="D33" s="65">
        <f>Nastavení!D54</f>
        <v>38220</v>
      </c>
      <c r="E33" s="65">
        <f>(A33+$C$29)/0.875</f>
        <v>293074.28571428574</v>
      </c>
      <c r="F33" s="65">
        <f>(B33+$C$29)/0.875</f>
        <v>421988.5714285714</v>
      </c>
      <c r="G33" s="6">
        <f>H32</f>
        <v>254854.28571428574</v>
      </c>
      <c r="H33" s="65">
        <f>F33-(C33*(B33-A33)+D33)</f>
        <v>355568.5714285714</v>
      </c>
      <c r="I33">
        <f>IF(AND($D$36&gt;G33,$D$36&lt;H33),1,0)</f>
        <v>0</v>
      </c>
    </row>
    <row r="34" spans="1:9" ht="12.75">
      <c r="A34" s="65">
        <f>Nastavení!A55</f>
        <v>331200</v>
      </c>
      <c r="B34" s="65"/>
      <c r="C34" s="66">
        <f>Nastavení!C55</f>
        <v>0.32</v>
      </c>
      <c r="D34" s="65">
        <f>Nastavení!D55</f>
        <v>66420</v>
      </c>
      <c r="E34" s="65">
        <f>(A34+$C$29)/0.875</f>
        <v>421988.5714285714</v>
      </c>
      <c r="F34" s="65"/>
      <c r="G34" s="6">
        <f>H33</f>
        <v>355568.5714285714</v>
      </c>
      <c r="I34">
        <f>IF($D$36&gt;G34,1,0)</f>
        <v>0</v>
      </c>
    </row>
    <row r="36" spans="1:4" ht="12.75">
      <c r="A36" t="s">
        <v>127</v>
      </c>
      <c r="D36" s="67">
        <f>12*MAX(Vstup!D31:D32)</f>
        <v>144000</v>
      </c>
    </row>
    <row r="38" spans="1:3" ht="12.75">
      <c r="A38" t="s">
        <v>128</v>
      </c>
      <c r="C38" s="68">
        <f>SUMPRODUCT(C31:C34,I31:I34)</f>
        <v>0.15</v>
      </c>
    </row>
    <row r="39" ht="12.75">
      <c r="A39" s="48"/>
    </row>
    <row r="40" spans="1:3" ht="12.75">
      <c r="A40" t="s">
        <v>45</v>
      </c>
      <c r="C40" s="49">
        <f>MIN(300000,Vstup!A20/12*365/360*Vstup!D9-Výstup!C6)*pomocné!C38</f>
        <v>303.15277777777777</v>
      </c>
    </row>
    <row r="43" spans="1:5" ht="12.75">
      <c r="A43" s="1" t="s">
        <v>129</v>
      </c>
      <c r="E43" s="1" t="s">
        <v>147</v>
      </c>
    </row>
    <row r="44" spans="2:5" ht="12.75">
      <c r="B44" t="s">
        <v>130</v>
      </c>
      <c r="C44" s="11">
        <f>pom_grafy!B5</f>
        <v>13815</v>
      </c>
      <c r="E44" t="s">
        <v>148</v>
      </c>
    </row>
    <row r="45" spans="2:7" ht="12.75">
      <c r="B45" t="s">
        <v>131</v>
      </c>
      <c r="C45" s="11">
        <f>Vstup!D43</f>
        <v>0</v>
      </c>
      <c r="G45" s="11">
        <f>(Vstup!D33+Vstup!E33)-pomocné!C44-pomocné!C45</f>
        <v>9185</v>
      </c>
    </row>
    <row r="46" spans="2:5" ht="12.75">
      <c r="B46" t="s">
        <v>105</v>
      </c>
      <c r="C46" s="11">
        <f>Výstup!C5-Výstup!C6</f>
        <v>4449.417540950342</v>
      </c>
      <c r="E46" t="s">
        <v>149</v>
      </c>
    </row>
    <row r="47" spans="2:7" ht="12.75">
      <c r="B47" t="s">
        <v>132</v>
      </c>
      <c r="C47" s="11">
        <f>C46+C45+C44</f>
        <v>18264.417540950344</v>
      </c>
      <c r="G47" s="11">
        <f>IF((Vstup!D33+Vstup!E33)&lt;Nastavení!B14,Nastavení!D14*(Vstup!D33+Vstup!E33),Nastavení!D15*(Vstup!D33+Vstup!E33))</f>
        <v>11500</v>
      </c>
    </row>
    <row r="48" spans="2:7" ht="12.75">
      <c r="B48" t="s">
        <v>133</v>
      </c>
      <c r="D48" s="22">
        <f>C46/(Vstup!D33+Vstup!E33)</f>
        <v>0.19345293656305837</v>
      </c>
      <c r="E48" t="s">
        <v>150</v>
      </c>
      <c r="G48" s="26">
        <f>MIN(G47,G45)</f>
        <v>9185</v>
      </c>
    </row>
    <row r="50" spans="2:5" ht="12.75">
      <c r="B50" t="s">
        <v>134</v>
      </c>
      <c r="D50" t="str">
        <f>IF((Vstup!D33+Vstup!E33)&gt;pomocné!C47,"ANO","NE")</f>
        <v>ANO</v>
      </c>
      <c r="E50" t="s">
        <v>151</v>
      </c>
    </row>
    <row r="51" spans="2:7" ht="12.75">
      <c r="B51" t="s">
        <v>135</v>
      </c>
      <c r="D51" t="str">
        <f>IF((Vstup!D33+Vstup!E33)&lt;Nastavení!B14,IF(pomocné!D48&lt;Nastavení!D14,"ANO","NE"),IF(pomocné!D48&lt;Nastavení!D15,"ANO","NE"))</f>
        <v>ANO</v>
      </c>
      <c r="G51" s="26">
        <f>PV(MAX(Vstup!A20,Pom_Sazba!C14)/12*365/360,12*Číselníky!D1,-G48)</f>
        <v>1384875.9503208213</v>
      </c>
    </row>
    <row r="52" spans="2:4" ht="12.75">
      <c r="B52" s="1" t="s">
        <v>136</v>
      </c>
      <c r="D52" s="50" t="str">
        <f>IF(AND(D51="ANO",D50="ANO"),"ANO","NE")</f>
        <v>ANO</v>
      </c>
    </row>
    <row r="53" spans="5:7" ht="12.75">
      <c r="E53" t="s">
        <v>122</v>
      </c>
      <c r="G53" s="136">
        <f>PMT((Vstup!A20-Nastavení!A3)/12,12*MIN(Číselníky!D1,Nastavení!A4),-MIN(G51,pomocné!D20))</f>
        <v>12736.520815925665</v>
      </c>
    </row>
    <row r="54" spans="5:7" ht="12.75">
      <c r="E54" t="s">
        <v>123</v>
      </c>
      <c r="G54" s="136">
        <f>PMT(Vstup!A20/12,12*MIN(Číselníky!D1,Nastavení!A4),-MIN(G51,pomocné!D20))</f>
        <v>13366.073660270064</v>
      </c>
    </row>
    <row r="55" spans="1:7" ht="12.75">
      <c r="A55" s="1"/>
      <c r="E55" t="s">
        <v>66</v>
      </c>
      <c r="G55" s="136">
        <f>IF(Číselníky!B7=1,pomocné!G54-pomocné!G53,0)</f>
        <v>0</v>
      </c>
    </row>
    <row r="56" spans="5:7" ht="12.75">
      <c r="E56" t="s">
        <v>152</v>
      </c>
      <c r="G56" s="135">
        <f>G48+G55</f>
        <v>9185</v>
      </c>
    </row>
    <row r="57" spans="2:5" ht="12.75">
      <c r="B57" s="6"/>
      <c r="D57" s="3"/>
      <c r="E57" t="s">
        <v>153</v>
      </c>
    </row>
    <row r="58" spans="1:7" ht="12.75">
      <c r="A58" s="1" t="s">
        <v>195</v>
      </c>
      <c r="B58" s="6"/>
      <c r="D58" s="3"/>
      <c r="G58" s="26">
        <f>PV(Vstup!A20/12,12*Číselníky!D1,-G56)</f>
        <v>1657651.5947308645</v>
      </c>
    </row>
    <row r="59" spans="1:2" ht="12.75">
      <c r="A59" t="s">
        <v>196</v>
      </c>
      <c r="B59" s="6">
        <f>Vstup!D9</f>
        <v>800000</v>
      </c>
    </row>
    <row r="60" spans="1:2" ht="12.75">
      <c r="A60" t="s">
        <v>105</v>
      </c>
      <c r="B60" s="6">
        <f>Výstup!C5</f>
        <v>4449.417540950342</v>
      </c>
    </row>
    <row r="61" ht="12.75">
      <c r="C61" s="4"/>
    </row>
    <row r="62" spans="1:2" ht="12.75">
      <c r="A62" t="s">
        <v>197</v>
      </c>
      <c r="B62" s="6">
        <f>FV(Vstup!A20/12*365/360,12*Číselníky!G2,B60,-B59)</f>
        <v>708599.7106077452</v>
      </c>
    </row>
    <row r="63" spans="1:2" ht="12.75">
      <c r="A63" t="s">
        <v>198</v>
      </c>
      <c r="B63" s="11">
        <f>PMT(Vstup!A20/12*365/360,12*(Číselníky!D1-Číselníky!G2),-B62)</f>
        <v>4449.417540950344</v>
      </c>
    </row>
  </sheetData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Petr Syrový</dc:creator>
  <cp:keywords/>
  <dc:description/>
  <cp:lastModifiedBy>Jiří Barzl</cp:lastModifiedBy>
  <cp:lastPrinted>2004-03-29T11:47:13Z</cp:lastPrinted>
  <dcterms:created xsi:type="dcterms:W3CDTF">2002-08-20T20:47:43Z</dcterms:created>
  <dcterms:modified xsi:type="dcterms:W3CDTF">2004-04-04T16:28:59Z</dcterms:modified>
  <cp:category/>
  <cp:version/>
  <cp:contentType/>
  <cp:contentStatus/>
</cp:coreProperties>
</file>